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 66\UC 66\ปรับเกลี่ยปี 66\"/>
    </mc:Choice>
  </mc:AlternateContent>
  <xr:revisionPtr revIDLastSave="0" documentId="13_ncr:1_{AD4C37DD-8416-475F-B966-B1B05F803083}" xr6:coauthVersionLast="47" xr6:coauthVersionMax="47" xr10:uidLastSave="{00000000-0000-0000-0000-000000000000}"/>
  <workbookProtection workbookAlgorithmName="SHA-512" workbookHashValue="JDkV2ApCaYiTq1DhuJW5A1Bl59h0FmhcBRK+A+bWc0wlGOBS9+qQV4nZhH/6HOTvU7Zk3HWaoPPPsY6cTZ1LLA==" workbookSaltValue="No8euqxCIj9IbAsyRlLt0w==" workbookSpinCount="100000" lockStructure="1"/>
  <bookViews>
    <workbookView xWindow="-110" yWindow="-110" windowWidth="19420" windowHeight="10300" tabRatio="800" firstSheet="2" activeTab="5" xr2:uid="{15B66518-4BD8-434C-99F8-E361BD175135}"/>
  </bookViews>
  <sheets>
    <sheet name="Step" sheetId="13" state="hidden" r:id="rId1"/>
    <sheet name="Readme" sheetId="1" r:id="rId2"/>
    <sheet name="1.จัดสรรก่อนSK" sheetId="4" r:id="rId3"/>
    <sheet name="2.จัดสรรหลังSK" sheetId="5" r:id="rId4"/>
    <sheet name="3.สรุปวงเงินเขต" sheetId="6" r:id="rId5"/>
    <sheet name="4.เขตปรับKและเกลี่ยเงินเพิ่มฯ" sheetId="7" r:id="rId6"/>
    <sheet name="5.ปรับเกลี่ย PP NonUC" sheetId="14" r:id="rId7"/>
    <sheet name="6.Printผลการปรับเกลี่ยส่ง" sheetId="11" r:id="rId8"/>
  </sheets>
  <externalReferences>
    <externalReference r:id="rId9"/>
    <externalReference r:id="rId10"/>
  </externalReferences>
  <definedNames>
    <definedName name="_xlnm._FilterDatabase" localSheetId="2" hidden="1">'1.จัดสรรก่อนSK'!$A$3:$AA$98</definedName>
    <definedName name="_xlnm._FilterDatabase" localSheetId="3" hidden="1">'2.จัดสรรหลังSK'!$A$3:$AE$98</definedName>
    <definedName name="_xlnm._FilterDatabase" localSheetId="5" hidden="1">'4.เขตปรับKและเกลี่ยเงินเพิ่มฯ'!$A$15:$AO$110</definedName>
    <definedName name="_xlnm._FilterDatabase" localSheetId="6" hidden="1">'5.ปรับเกลี่ย PP NonUC'!$A$2:$H$105</definedName>
    <definedName name="_xlnm._FilterDatabase" localSheetId="7" hidden="1">'6.Printผลการปรับเกลี่ยส่ง'!$A$4:$S$99</definedName>
    <definedName name="_xlnm._FilterDatabase" localSheetId="0" hidden="1">Step!$A$4:$AG$99</definedName>
    <definedName name="_q06" localSheetId="6">#REF!</definedName>
    <definedName name="_q06" localSheetId="0">#REF!</definedName>
    <definedName name="_q06">#REF!</definedName>
    <definedName name="_xlnm.Print_Titles" localSheetId="6">'5.ปรับเกลี่ย PP NonUC'!$2:$2</definedName>
    <definedName name="_xlnm.Print_Titles" localSheetId="7">'6.Printผลการปรับเกลี่ยส่ง'!$3:$4</definedName>
    <definedName name="q_รหัสหลัก51" localSheetId="6">#REF!</definedName>
    <definedName name="q_รหัสหลัก51" localSheetId="0">#REF!</definedName>
    <definedName name="q_รหัสหลัก51">#REF!</definedName>
    <definedName name="q_สสจ51" localSheetId="6">#REF!</definedName>
    <definedName name="q_สสจ51" localSheetId="0">#REF!</definedName>
    <definedName name="q_สสจ51">#REF!</definedName>
    <definedName name="q_สสอ_51" localSheetId="6">#REF!</definedName>
    <definedName name="q_สสอ_51" localSheetId="0">#REF!</definedName>
    <definedName name="q_สสอ_51">#REF!</definedName>
    <definedName name="q_สสอ51" localSheetId="6">#REF!</definedName>
    <definedName name="q_สสอ51">#REF!</definedName>
    <definedName name="q_สอ_51" localSheetId="6">#REF!</definedName>
    <definedName name="q_สอ_51">#REF!</definedName>
    <definedName name="q00_เขต" localSheetId="6">#REF!</definedName>
    <definedName name="q00_เขต">#REF!</definedName>
    <definedName name="q01_จังหวัด" localSheetId="6">#REF!</definedName>
    <definedName name="q01_จังหวัด">#REF!</definedName>
    <definedName name="q01_รพสต9762" localSheetId="6">#REF!</definedName>
    <definedName name="q01_รพสต9762">#REF!</definedName>
    <definedName name="q01_รหัสหลัก" localSheetId="6">#REF!</definedName>
    <definedName name="q01_รหัสหลัก">#REF!</definedName>
    <definedName name="q01_สสจ" localSheetId="6">#REF!</definedName>
    <definedName name="q01_สสจ">#REF!</definedName>
    <definedName name="q01_สสจ1" localSheetId="6">#REF!</definedName>
    <definedName name="q01_สสจ1">#REF!</definedName>
    <definedName name="q02_รพศ_รพท">[1]รพศ_รพท_รพช!$A$1:$V$836</definedName>
    <definedName name="q02_รพศ_รพท_รพช" localSheetId="6">#REF!</definedName>
    <definedName name="q02_รพศ_รพท_รพช" localSheetId="0">#REF!</definedName>
    <definedName name="q02_รพศ_รพท_รพช">#REF!</definedName>
    <definedName name="q03_ทำเนียบเตียงใหม่" localSheetId="6">#REF!</definedName>
    <definedName name="q03_ทำเนียบเตียงใหม่" localSheetId="0">#REF!</definedName>
    <definedName name="q03_ทำเนียบเตียงใหม่">#REF!</definedName>
    <definedName name="q03_ทำเนียบเตียงใหม่1" localSheetId="6">#REF!</definedName>
    <definedName name="q03_ทำเนียบเตียงใหม่1" localSheetId="0">#REF!</definedName>
    <definedName name="q03_ทำเนียบเตียงใหม่1">#REF!</definedName>
    <definedName name="q03_รพศ_รพท_รพช_52" localSheetId="6">#REF!</definedName>
    <definedName name="q03_รพศ_รพท_รพช_52">#REF!</definedName>
    <definedName name="q03_สสอ" localSheetId="6">#REF!</definedName>
    <definedName name="q03_สสอ">#REF!</definedName>
    <definedName name="q04_รพสต" localSheetId="6">#REF!</definedName>
    <definedName name="q04_รพสต">#REF!</definedName>
    <definedName name="q05_รพศ_รพท_รพช_มีอำเภอรับผิดชอบ" localSheetId="6">#REF!</definedName>
    <definedName name="q05_รพศ_รพท_รพช_มีอำเภอรับผิดชอบ">#REF!</definedName>
    <definedName name="q05_หน่วยงานย่อย" localSheetId="6">#REF!</definedName>
    <definedName name="q05_หน่วยงานย่อย">#REF!</definedName>
    <definedName name="q06_รพ" localSheetId="6">#REF!</definedName>
    <definedName name="q06_รพ">#REF!</definedName>
    <definedName name="q07_สสอ" localSheetId="6">#REF!</definedName>
    <definedName name="q07_สสอ">#REF!</definedName>
    <definedName name="q07_สสอ1" localSheetId="6">#REF!</definedName>
    <definedName name="q07_สสอ1">#REF!</definedName>
    <definedName name="q08_รพสตหน่วยงานย่อย" localSheetId="6">#REF!</definedName>
    <definedName name="q08_รพสตหน่วยงานย่อย">#REF!</definedName>
    <definedName name="q08_รพสตหน่วยงานย่อย1" localSheetId="6">#REF!</definedName>
    <definedName name="q08_รพสตหน่วยงานย่อย1">#REF!</definedName>
    <definedName name="q1_รพ877" localSheetId="6">#REF!</definedName>
    <definedName name="q1_รพ877">#REF!</definedName>
    <definedName name="q11_สสจ_มีเขตรหัสพื้นที่" localSheetId="6">#REF!</definedName>
    <definedName name="q11_สสจ_มีเขตรหัสพื้นที่">#REF!</definedName>
    <definedName name="q12_รพศรพทรพช891" localSheetId="6">#REF!</definedName>
    <definedName name="q12_รพศรพทรพช891">#REF!</definedName>
    <definedName name="q12_รพศรพทรพช8911" localSheetId="6">#REF!</definedName>
    <definedName name="q12_รพศรพทรพช8911">#REF!</definedName>
    <definedName name="q12_รพศรพทรพช896" localSheetId="6">#REF!</definedName>
    <definedName name="q12_รพศรพทรพช896">#REF!</definedName>
    <definedName name="q12_สสจ_52" localSheetId="6">#REF!</definedName>
    <definedName name="q12_สสจ_52">#REF!</definedName>
    <definedName name="q14_รพสต97631" localSheetId="6">#REF!</definedName>
    <definedName name="q14_รพสต97631">#REF!</definedName>
    <definedName name="q2_รพ883" localSheetId="6">#REF!</definedName>
    <definedName name="q2_รพ883">#REF!</definedName>
    <definedName name="Query1" localSheetId="6">#REF!</definedName>
    <definedName name="Query1">#REF!</definedName>
    <definedName name="SAPBEXsysID" hidden="1">"BWP"</definedName>
    <definedName name="t01_รพศรพทรพช876">#REF!</definedName>
    <definedName name="t02_สสอ" localSheetId="6">#REF!</definedName>
    <definedName name="t02_สสอ" localSheetId="0">#REF!</definedName>
    <definedName name="t02_สสอ">#REF!</definedName>
    <definedName name="t03_รพสต9762" localSheetId="6">#REF!</definedName>
    <definedName name="t03_รพสต9762" localSheetId="0">#REF!</definedName>
    <definedName name="t03_รพสต9762">#REF!</definedName>
    <definedName name="t11_สสจ_ที่ไม่ตรงกับ_t12_สสจ" localSheetId="6">#REF!</definedName>
    <definedName name="t11_สสจ_ที่ไม่ตรงกับ_t12_สสจ">#REF!</definedName>
    <definedName name="t13_รพศ_รพท_รพช_ที่ไม่ตรงกับ_t14_รพศ_รพท_รพช" localSheetId="6">#REF!</definedName>
    <definedName name="t13_รพศ_รพท_รพช_ที่ไม่ตรงกับ_t14_รพศ_รพท_รพช">#REF!</definedName>
    <definedName name="t15_สสอ_ที่ไม่ตรงกับ_t16_สสอ" localSheetId="6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 localSheetId="6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workload" localSheetId="6">#REF!</definedName>
    <definedName name="workload" localSheetId="0">#REF!</definedName>
    <definedName name="workload">#REF!</definedName>
    <definedName name="จำนวนรพ_ตามSP" localSheetId="6">#REF!</definedName>
    <definedName name="จำนวนรพ_ตามSP" localSheetId="0">#REF!</definedName>
    <definedName name="จำนวนรพ_ตามSP">#REF!</definedName>
    <definedName name="จำนวนรพ_รายเขต" localSheetId="6">#REF!</definedName>
    <definedName name="จำนวนรพ_รายเขต" localSheetId="0">#REF!</definedName>
    <definedName name="จำนวนรพ_รายเขต">#REF!</definedName>
    <definedName name="ทำเนียบสถานบริการ" localSheetId="6">#REF!</definedName>
    <definedName name="ทำเนียบสถานบริการ">#REF!</definedName>
    <definedName name="รหัสหลัก50" localSheetId="6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1" i="7" l="1"/>
  <c r="G106" i="14"/>
  <c r="R98" i="11"/>
  <c r="N98" i="11"/>
  <c r="R97" i="11"/>
  <c r="N97" i="11"/>
  <c r="R96" i="11"/>
  <c r="N96" i="11"/>
  <c r="R95" i="11"/>
  <c r="N95" i="11"/>
  <c r="R94" i="11"/>
  <c r="N94" i="11"/>
  <c r="R93" i="11"/>
  <c r="N93" i="11"/>
  <c r="R92" i="11"/>
  <c r="N92" i="11"/>
  <c r="R91" i="11"/>
  <c r="N91" i="11"/>
  <c r="R90" i="11"/>
  <c r="N90" i="11"/>
  <c r="R89" i="11"/>
  <c r="N89" i="11"/>
  <c r="R88" i="11"/>
  <c r="N88" i="11"/>
  <c r="R87" i="11"/>
  <c r="N87" i="11"/>
  <c r="R85" i="11"/>
  <c r="N85" i="11"/>
  <c r="R84" i="11"/>
  <c r="N84" i="11"/>
  <c r="R83" i="11"/>
  <c r="N83" i="11"/>
  <c r="R82" i="11"/>
  <c r="N82" i="11"/>
  <c r="R81" i="11"/>
  <c r="N81" i="11"/>
  <c r="R80" i="11"/>
  <c r="N80" i="11"/>
  <c r="R79" i="11"/>
  <c r="N79" i="11"/>
  <c r="R78" i="11"/>
  <c r="N78" i="11"/>
  <c r="R77" i="11"/>
  <c r="N77" i="11"/>
  <c r="R76" i="11"/>
  <c r="N76" i="11"/>
  <c r="R75" i="11"/>
  <c r="N75" i="11"/>
  <c r="R74" i="11"/>
  <c r="N74" i="11"/>
  <c r="R73" i="11"/>
  <c r="N73" i="11"/>
  <c r="R72" i="11"/>
  <c r="N72" i="11"/>
  <c r="R71" i="11"/>
  <c r="N71" i="11"/>
  <c r="R70" i="11"/>
  <c r="N70" i="11"/>
  <c r="R69" i="11"/>
  <c r="N69" i="11"/>
  <c r="R68" i="11"/>
  <c r="N68" i="11"/>
  <c r="R66" i="11"/>
  <c r="N66" i="11"/>
  <c r="R65" i="11"/>
  <c r="N65" i="11"/>
  <c r="R64" i="11"/>
  <c r="N64" i="11"/>
  <c r="R63" i="11"/>
  <c r="N63" i="11"/>
  <c r="R62" i="11"/>
  <c r="N62" i="11"/>
  <c r="R61" i="11"/>
  <c r="N61" i="11"/>
  <c r="R60" i="11"/>
  <c r="N60" i="11"/>
  <c r="R59" i="11"/>
  <c r="N59" i="11"/>
  <c r="R58" i="11"/>
  <c r="N58" i="11"/>
  <c r="R56" i="11"/>
  <c r="N56" i="11"/>
  <c r="R55" i="11"/>
  <c r="N55" i="11"/>
  <c r="R54" i="11"/>
  <c r="N54" i="11"/>
  <c r="R53" i="11"/>
  <c r="N53" i="11"/>
  <c r="R52" i="11"/>
  <c r="N52" i="11"/>
  <c r="R51" i="11"/>
  <c r="N51" i="11"/>
  <c r="R50" i="11"/>
  <c r="N50" i="11"/>
  <c r="R49" i="11"/>
  <c r="N49" i="11"/>
  <c r="R48" i="11"/>
  <c r="N48" i="11"/>
  <c r="R47" i="11"/>
  <c r="N47" i="11"/>
  <c r="R46" i="11"/>
  <c r="N46" i="11"/>
  <c r="R45" i="11"/>
  <c r="N45" i="11"/>
  <c r="R44" i="11"/>
  <c r="N44" i="11"/>
  <c r="R43" i="11"/>
  <c r="N43" i="11"/>
  <c r="R41" i="11"/>
  <c r="N41" i="11"/>
  <c r="R40" i="11"/>
  <c r="N40" i="11"/>
  <c r="R39" i="11"/>
  <c r="N39" i="11"/>
  <c r="R38" i="11"/>
  <c r="N38" i="11"/>
  <c r="R37" i="11"/>
  <c r="N37" i="11"/>
  <c r="R36" i="11"/>
  <c r="N36" i="11"/>
  <c r="R35" i="11"/>
  <c r="N35" i="11"/>
  <c r="R34" i="11"/>
  <c r="N34" i="11"/>
  <c r="R33" i="11"/>
  <c r="N33" i="11"/>
  <c r="R32" i="11"/>
  <c r="N32" i="11"/>
  <c r="R31" i="11"/>
  <c r="N31" i="11"/>
  <c r="R30" i="11"/>
  <c r="N30" i="11"/>
  <c r="R29" i="11"/>
  <c r="N29" i="11"/>
  <c r="R28" i="11"/>
  <c r="N28" i="11"/>
  <c r="R27" i="11"/>
  <c r="N27" i="11"/>
  <c r="R26" i="11"/>
  <c r="N26" i="11"/>
  <c r="R25" i="11"/>
  <c r="N25" i="11"/>
  <c r="R24" i="11"/>
  <c r="N24" i="11"/>
  <c r="R23" i="11"/>
  <c r="N23" i="11"/>
  <c r="R22" i="11"/>
  <c r="N22" i="11"/>
  <c r="R21" i="11"/>
  <c r="N21" i="11"/>
  <c r="R19" i="11"/>
  <c r="N19" i="11"/>
  <c r="R18" i="11"/>
  <c r="N18" i="11"/>
  <c r="R17" i="11"/>
  <c r="N17" i="11"/>
  <c r="R16" i="11"/>
  <c r="N16" i="11"/>
  <c r="R15" i="11"/>
  <c r="N15" i="11"/>
  <c r="R14" i="11"/>
  <c r="N14" i="11"/>
  <c r="R12" i="11"/>
  <c r="N12" i="11"/>
  <c r="R11" i="11"/>
  <c r="N11" i="11"/>
  <c r="R10" i="11"/>
  <c r="N10" i="11"/>
  <c r="R9" i="11"/>
  <c r="N9" i="11"/>
  <c r="R8" i="11"/>
  <c r="N8" i="11"/>
  <c r="R7" i="11"/>
  <c r="N7" i="11"/>
  <c r="R6" i="11"/>
  <c r="N6" i="11"/>
  <c r="R5" i="11"/>
  <c r="N5" i="11"/>
  <c r="Y98" i="5" l="1"/>
  <c r="Y85" i="5"/>
  <c r="Y66" i="5"/>
  <c r="Y56" i="5"/>
  <c r="Y41" i="5"/>
  <c r="Y19" i="5"/>
  <c r="Y12" i="5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G98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G85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G6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G56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G41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G19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G12" i="4"/>
  <c r="G99" i="4" l="1"/>
  <c r="Q99" i="4"/>
  <c r="Y99" i="5"/>
  <c r="L99" i="4"/>
  <c r="V99" i="4"/>
  <c r="J99" i="4"/>
  <c r="R99" i="4"/>
  <c r="K99" i="4"/>
  <c r="S99" i="4"/>
  <c r="T99" i="4"/>
  <c r="M99" i="4"/>
  <c r="U99" i="4"/>
  <c r="O99" i="4"/>
  <c r="N99" i="4"/>
  <c r="P99" i="4"/>
  <c r="H105" i="14" l="1"/>
  <c r="H91" i="14"/>
  <c r="H71" i="14"/>
  <c r="H60" i="14"/>
  <c r="H44" i="14"/>
  <c r="H19" i="14"/>
  <c r="H11" i="14"/>
  <c r="H106" i="14" l="1"/>
  <c r="AL110" i="7"/>
  <c r="AK110" i="7"/>
  <c r="AI110" i="7"/>
  <c r="AA110" i="7"/>
  <c r="P110" i="7"/>
  <c r="O110" i="7"/>
  <c r="N110" i="7"/>
  <c r="M110" i="7"/>
  <c r="AL97" i="7"/>
  <c r="AK97" i="7"/>
  <c r="AI97" i="7"/>
  <c r="AA97" i="7"/>
  <c r="P97" i="7"/>
  <c r="O97" i="7"/>
  <c r="N97" i="7"/>
  <c r="M97" i="7"/>
  <c r="AL78" i="7"/>
  <c r="AK78" i="7"/>
  <c r="AI78" i="7"/>
  <c r="AA78" i="7"/>
  <c r="P78" i="7"/>
  <c r="O78" i="7"/>
  <c r="N78" i="7"/>
  <c r="M78" i="7"/>
  <c r="AL68" i="7"/>
  <c r="AK68" i="7"/>
  <c r="AI68" i="7"/>
  <c r="AA68" i="7"/>
  <c r="P68" i="7"/>
  <c r="O68" i="7"/>
  <c r="N68" i="7"/>
  <c r="M68" i="7"/>
  <c r="AL53" i="7"/>
  <c r="AK53" i="7"/>
  <c r="AI53" i="7"/>
  <c r="AA53" i="7"/>
  <c r="P53" i="7"/>
  <c r="O53" i="7"/>
  <c r="N53" i="7"/>
  <c r="M53" i="7"/>
  <c r="AL31" i="7"/>
  <c r="AK31" i="7"/>
  <c r="AI31" i="7"/>
  <c r="AA31" i="7"/>
  <c r="P31" i="7"/>
  <c r="O31" i="7"/>
  <c r="N31" i="7"/>
  <c r="M31" i="7"/>
  <c r="AL24" i="7"/>
  <c r="AK24" i="7"/>
  <c r="AI24" i="7"/>
  <c r="AA24" i="7"/>
  <c r="P24" i="7"/>
  <c r="O24" i="7"/>
  <c r="N24" i="7"/>
  <c r="M24" i="7"/>
  <c r="AA111" i="7"/>
  <c r="AA12" i="7" s="1"/>
  <c r="S16" i="7"/>
  <c r="I5" i="11" s="1"/>
  <c r="S17" i="7"/>
  <c r="I6" i="11" s="1"/>
  <c r="S18" i="7"/>
  <c r="I7" i="11" s="1"/>
  <c r="S19" i="7"/>
  <c r="I8" i="11" s="1"/>
  <c r="S20" i="7"/>
  <c r="I9" i="11" s="1"/>
  <c r="S21" i="7"/>
  <c r="I10" i="11" s="1"/>
  <c r="S22" i="7"/>
  <c r="I11" i="11" s="1"/>
  <c r="S23" i="7"/>
  <c r="I12" i="11" s="1"/>
  <c r="S25" i="7"/>
  <c r="I14" i="11" s="1"/>
  <c r="S26" i="7"/>
  <c r="I15" i="11" s="1"/>
  <c r="S27" i="7"/>
  <c r="I16" i="11" s="1"/>
  <c r="S28" i="7"/>
  <c r="I17" i="11" s="1"/>
  <c r="S29" i="7"/>
  <c r="I18" i="11" s="1"/>
  <c r="S30" i="7"/>
  <c r="I19" i="11" s="1"/>
  <c r="S32" i="7"/>
  <c r="I21" i="11" s="1"/>
  <c r="S33" i="7"/>
  <c r="I22" i="11" s="1"/>
  <c r="S34" i="7"/>
  <c r="I23" i="11" s="1"/>
  <c r="S35" i="7"/>
  <c r="I24" i="11" s="1"/>
  <c r="S36" i="7"/>
  <c r="I25" i="11" s="1"/>
  <c r="S37" i="7"/>
  <c r="I26" i="11" s="1"/>
  <c r="S38" i="7"/>
  <c r="I27" i="11" s="1"/>
  <c r="S39" i="7"/>
  <c r="I28" i="11" s="1"/>
  <c r="S40" i="7"/>
  <c r="I29" i="11" s="1"/>
  <c r="S41" i="7"/>
  <c r="I30" i="11" s="1"/>
  <c r="S42" i="7"/>
  <c r="I31" i="11" s="1"/>
  <c r="S43" i="7"/>
  <c r="I32" i="11" s="1"/>
  <c r="S44" i="7"/>
  <c r="I33" i="11" s="1"/>
  <c r="S45" i="7"/>
  <c r="I34" i="11" s="1"/>
  <c r="S46" i="7"/>
  <c r="I35" i="11" s="1"/>
  <c r="S47" i="7"/>
  <c r="I36" i="11" s="1"/>
  <c r="S48" i="7"/>
  <c r="I37" i="11" s="1"/>
  <c r="S49" i="7"/>
  <c r="I38" i="11" s="1"/>
  <c r="S50" i="7"/>
  <c r="I39" i="11" s="1"/>
  <c r="S51" i="7"/>
  <c r="I40" i="11" s="1"/>
  <c r="S52" i="7"/>
  <c r="I41" i="11" s="1"/>
  <c r="S54" i="7"/>
  <c r="I43" i="11" s="1"/>
  <c r="S55" i="7"/>
  <c r="I44" i="11" s="1"/>
  <c r="S56" i="7"/>
  <c r="I45" i="11" s="1"/>
  <c r="S57" i="7"/>
  <c r="I46" i="11" s="1"/>
  <c r="S58" i="7"/>
  <c r="I47" i="11" s="1"/>
  <c r="S59" i="7"/>
  <c r="I48" i="11" s="1"/>
  <c r="S60" i="7"/>
  <c r="I49" i="11" s="1"/>
  <c r="S61" i="7"/>
  <c r="I50" i="11" s="1"/>
  <c r="S62" i="7"/>
  <c r="I51" i="11" s="1"/>
  <c r="S63" i="7"/>
  <c r="I52" i="11" s="1"/>
  <c r="S64" i="7"/>
  <c r="I53" i="11" s="1"/>
  <c r="S65" i="7"/>
  <c r="I54" i="11" s="1"/>
  <c r="S66" i="7"/>
  <c r="I55" i="11" s="1"/>
  <c r="S67" i="7"/>
  <c r="I56" i="11" s="1"/>
  <c r="S69" i="7"/>
  <c r="I58" i="11" s="1"/>
  <c r="S70" i="7"/>
  <c r="I59" i="11" s="1"/>
  <c r="S71" i="7"/>
  <c r="I60" i="11" s="1"/>
  <c r="S72" i="7"/>
  <c r="I61" i="11" s="1"/>
  <c r="S73" i="7"/>
  <c r="I62" i="11" s="1"/>
  <c r="S74" i="7"/>
  <c r="I63" i="11" s="1"/>
  <c r="S75" i="7"/>
  <c r="I64" i="11" s="1"/>
  <c r="S76" i="7"/>
  <c r="I65" i="11" s="1"/>
  <c r="S77" i="7"/>
  <c r="I66" i="11" s="1"/>
  <c r="S79" i="7"/>
  <c r="I68" i="11" s="1"/>
  <c r="S80" i="7"/>
  <c r="I69" i="11" s="1"/>
  <c r="S81" i="7"/>
  <c r="I70" i="11" s="1"/>
  <c r="S82" i="7"/>
  <c r="I71" i="11" s="1"/>
  <c r="S83" i="7"/>
  <c r="I72" i="11" s="1"/>
  <c r="S84" i="7"/>
  <c r="I73" i="11" s="1"/>
  <c r="S85" i="7"/>
  <c r="I74" i="11" s="1"/>
  <c r="S86" i="7"/>
  <c r="I75" i="11" s="1"/>
  <c r="S87" i="7"/>
  <c r="I76" i="11" s="1"/>
  <c r="S88" i="7"/>
  <c r="I77" i="11" s="1"/>
  <c r="S89" i="7"/>
  <c r="I78" i="11" s="1"/>
  <c r="S90" i="7"/>
  <c r="I79" i="11" s="1"/>
  <c r="S91" i="7"/>
  <c r="I80" i="11" s="1"/>
  <c r="S92" i="7"/>
  <c r="I81" i="11" s="1"/>
  <c r="S93" i="7"/>
  <c r="I82" i="11" s="1"/>
  <c r="S94" i="7"/>
  <c r="I83" i="11" s="1"/>
  <c r="S95" i="7"/>
  <c r="I84" i="11" s="1"/>
  <c r="S96" i="7"/>
  <c r="I85" i="11" s="1"/>
  <c r="S98" i="7"/>
  <c r="I87" i="11" s="1"/>
  <c r="S99" i="7"/>
  <c r="I88" i="11" s="1"/>
  <c r="S100" i="7"/>
  <c r="I89" i="11" s="1"/>
  <c r="S101" i="7"/>
  <c r="I90" i="11" s="1"/>
  <c r="S102" i="7"/>
  <c r="I91" i="11" s="1"/>
  <c r="S103" i="7"/>
  <c r="I92" i="11" s="1"/>
  <c r="S104" i="7"/>
  <c r="I93" i="11" s="1"/>
  <c r="S105" i="7"/>
  <c r="I94" i="11" s="1"/>
  <c r="S106" i="7"/>
  <c r="I95" i="11" s="1"/>
  <c r="S107" i="7"/>
  <c r="I96" i="11" s="1"/>
  <c r="S108" i="7"/>
  <c r="I97" i="11" s="1"/>
  <c r="S109" i="7"/>
  <c r="I98" i="11" s="1"/>
  <c r="AM16" i="7"/>
  <c r="P5" i="11" s="1"/>
  <c r="AM17" i="7"/>
  <c r="P6" i="11" s="1"/>
  <c r="AM18" i="7"/>
  <c r="P7" i="11" s="1"/>
  <c r="AM19" i="7"/>
  <c r="P8" i="11" s="1"/>
  <c r="AM20" i="7"/>
  <c r="P9" i="11" s="1"/>
  <c r="AM21" i="7"/>
  <c r="P10" i="11" s="1"/>
  <c r="AM22" i="7"/>
  <c r="P11" i="11" s="1"/>
  <c r="AM23" i="7"/>
  <c r="P12" i="11" s="1"/>
  <c r="AM25" i="7"/>
  <c r="P14" i="11" s="1"/>
  <c r="AM26" i="7"/>
  <c r="P15" i="11" s="1"/>
  <c r="AM27" i="7"/>
  <c r="P16" i="11" s="1"/>
  <c r="AM28" i="7"/>
  <c r="P17" i="11" s="1"/>
  <c r="AM29" i="7"/>
  <c r="P18" i="11" s="1"/>
  <c r="AM30" i="7"/>
  <c r="P19" i="11" s="1"/>
  <c r="AM32" i="7"/>
  <c r="P21" i="11" s="1"/>
  <c r="AM33" i="7"/>
  <c r="P22" i="11" s="1"/>
  <c r="AM34" i="7"/>
  <c r="P23" i="11" s="1"/>
  <c r="AM35" i="7"/>
  <c r="P24" i="11" s="1"/>
  <c r="AM36" i="7"/>
  <c r="P25" i="11" s="1"/>
  <c r="AM37" i="7"/>
  <c r="P26" i="11" s="1"/>
  <c r="AM38" i="7"/>
  <c r="P27" i="11" s="1"/>
  <c r="AM39" i="7"/>
  <c r="P28" i="11" s="1"/>
  <c r="AM40" i="7"/>
  <c r="P29" i="11" s="1"/>
  <c r="AM41" i="7"/>
  <c r="P30" i="11" s="1"/>
  <c r="AM42" i="7"/>
  <c r="P31" i="11" s="1"/>
  <c r="AM43" i="7"/>
  <c r="P32" i="11" s="1"/>
  <c r="AM44" i="7"/>
  <c r="P33" i="11" s="1"/>
  <c r="AM45" i="7"/>
  <c r="P34" i="11" s="1"/>
  <c r="AM46" i="7"/>
  <c r="P35" i="11" s="1"/>
  <c r="AM47" i="7"/>
  <c r="P36" i="11" s="1"/>
  <c r="AM48" i="7"/>
  <c r="P37" i="11" s="1"/>
  <c r="AM49" i="7"/>
  <c r="P38" i="11" s="1"/>
  <c r="AM50" i="7"/>
  <c r="P39" i="11" s="1"/>
  <c r="AM51" i="7"/>
  <c r="P40" i="11" s="1"/>
  <c r="AM52" i="7"/>
  <c r="P41" i="11" s="1"/>
  <c r="AM54" i="7"/>
  <c r="P43" i="11" s="1"/>
  <c r="AM55" i="7"/>
  <c r="P44" i="11" s="1"/>
  <c r="AM56" i="7"/>
  <c r="P45" i="11" s="1"/>
  <c r="AM57" i="7"/>
  <c r="P46" i="11" s="1"/>
  <c r="AM58" i="7"/>
  <c r="P47" i="11" s="1"/>
  <c r="AM59" i="7"/>
  <c r="P48" i="11" s="1"/>
  <c r="AM60" i="7"/>
  <c r="P49" i="11" s="1"/>
  <c r="AM61" i="7"/>
  <c r="P50" i="11" s="1"/>
  <c r="AM62" i="7"/>
  <c r="P51" i="11" s="1"/>
  <c r="AM63" i="7"/>
  <c r="P52" i="11" s="1"/>
  <c r="AM64" i="7"/>
  <c r="P53" i="11" s="1"/>
  <c r="AM65" i="7"/>
  <c r="P54" i="11" s="1"/>
  <c r="AM66" i="7"/>
  <c r="P55" i="11" s="1"/>
  <c r="AM67" i="7"/>
  <c r="P56" i="11" s="1"/>
  <c r="AM69" i="7"/>
  <c r="P58" i="11" s="1"/>
  <c r="AM70" i="7"/>
  <c r="P59" i="11" s="1"/>
  <c r="AM71" i="7"/>
  <c r="P60" i="11" s="1"/>
  <c r="AM72" i="7"/>
  <c r="P61" i="11" s="1"/>
  <c r="AM73" i="7"/>
  <c r="P62" i="11" s="1"/>
  <c r="AM74" i="7"/>
  <c r="P63" i="11" s="1"/>
  <c r="AM75" i="7"/>
  <c r="P64" i="11" s="1"/>
  <c r="AM76" i="7"/>
  <c r="P65" i="11" s="1"/>
  <c r="AM77" i="7"/>
  <c r="P66" i="11" s="1"/>
  <c r="AM79" i="7"/>
  <c r="P68" i="11" s="1"/>
  <c r="AM80" i="7"/>
  <c r="P69" i="11" s="1"/>
  <c r="AM81" i="7"/>
  <c r="P70" i="11" s="1"/>
  <c r="AM82" i="7"/>
  <c r="P71" i="11" s="1"/>
  <c r="AM83" i="7"/>
  <c r="P72" i="11" s="1"/>
  <c r="AM84" i="7"/>
  <c r="P73" i="11" s="1"/>
  <c r="AM85" i="7"/>
  <c r="P74" i="11" s="1"/>
  <c r="AM86" i="7"/>
  <c r="P75" i="11" s="1"/>
  <c r="AM87" i="7"/>
  <c r="P76" i="11" s="1"/>
  <c r="AM88" i="7"/>
  <c r="P77" i="11" s="1"/>
  <c r="AM89" i="7"/>
  <c r="P78" i="11" s="1"/>
  <c r="AM90" i="7"/>
  <c r="P79" i="11" s="1"/>
  <c r="AM91" i="7"/>
  <c r="P80" i="11" s="1"/>
  <c r="AM92" i="7"/>
  <c r="P81" i="11" s="1"/>
  <c r="AM93" i="7"/>
  <c r="P82" i="11" s="1"/>
  <c r="AM94" i="7"/>
  <c r="P83" i="11" s="1"/>
  <c r="AM95" i="7"/>
  <c r="P84" i="11" s="1"/>
  <c r="AM96" i="7"/>
  <c r="P85" i="11" s="1"/>
  <c r="AM98" i="7"/>
  <c r="P87" i="11" s="1"/>
  <c r="AM99" i="7"/>
  <c r="P88" i="11" s="1"/>
  <c r="AM100" i="7"/>
  <c r="P89" i="11" s="1"/>
  <c r="AM101" i="7"/>
  <c r="P90" i="11" s="1"/>
  <c r="AM102" i="7"/>
  <c r="P91" i="11" s="1"/>
  <c r="AM103" i="7"/>
  <c r="P92" i="11" s="1"/>
  <c r="AM104" i="7"/>
  <c r="P93" i="11" s="1"/>
  <c r="AM105" i="7"/>
  <c r="P94" i="11" s="1"/>
  <c r="AM106" i="7"/>
  <c r="P95" i="11" s="1"/>
  <c r="AM107" i="7"/>
  <c r="P96" i="11" s="1"/>
  <c r="AM108" i="7"/>
  <c r="P97" i="11" s="1"/>
  <c r="AM109" i="7"/>
  <c r="P98" i="11" s="1"/>
  <c r="AD16" i="7"/>
  <c r="AD17" i="7"/>
  <c r="AD18" i="7"/>
  <c r="AD19" i="7"/>
  <c r="AD20" i="7"/>
  <c r="AD21" i="7"/>
  <c r="AD22" i="7"/>
  <c r="AD23" i="7"/>
  <c r="AD25" i="7"/>
  <c r="AD26" i="7"/>
  <c r="AD27" i="7"/>
  <c r="AD28" i="7"/>
  <c r="AD29" i="7"/>
  <c r="AD30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9" i="7"/>
  <c r="AD70" i="7"/>
  <c r="AD71" i="7"/>
  <c r="AD72" i="7"/>
  <c r="AD73" i="7"/>
  <c r="AD74" i="7"/>
  <c r="AD75" i="7"/>
  <c r="AD76" i="7"/>
  <c r="AD77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C16" i="7"/>
  <c r="AC17" i="7"/>
  <c r="AC18" i="7"/>
  <c r="AC19" i="7"/>
  <c r="AC20" i="7"/>
  <c r="AC21" i="7"/>
  <c r="AC22" i="7"/>
  <c r="AC23" i="7"/>
  <c r="AC25" i="7"/>
  <c r="AC26" i="7"/>
  <c r="AC27" i="7"/>
  <c r="AC28" i="7"/>
  <c r="AC29" i="7"/>
  <c r="AC30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4" i="7"/>
  <c r="AC55" i="7"/>
  <c r="AC56" i="7"/>
  <c r="AC57" i="7"/>
  <c r="AC58" i="7"/>
  <c r="AC59" i="7"/>
  <c r="AC60" i="7"/>
  <c r="AC61" i="7"/>
  <c r="AC62" i="7"/>
  <c r="AC63" i="7"/>
  <c r="AC64" i="7"/>
  <c r="AC65" i="7"/>
  <c r="AC66" i="7"/>
  <c r="AC67" i="7"/>
  <c r="AC69" i="7"/>
  <c r="AC70" i="7"/>
  <c r="AC71" i="7"/>
  <c r="AC72" i="7"/>
  <c r="AC73" i="7"/>
  <c r="AC74" i="7"/>
  <c r="AC75" i="7"/>
  <c r="AC76" i="7"/>
  <c r="AC77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1" i="7"/>
  <c r="AC92" i="7"/>
  <c r="AC93" i="7"/>
  <c r="AC94" i="7"/>
  <c r="AC95" i="7"/>
  <c r="AC96" i="7"/>
  <c r="AC98" i="7"/>
  <c r="AC99" i="7"/>
  <c r="AC100" i="7"/>
  <c r="AC101" i="7"/>
  <c r="AC102" i="7"/>
  <c r="AC103" i="7"/>
  <c r="AC104" i="7"/>
  <c r="AC105" i="7"/>
  <c r="AC106" i="7"/>
  <c r="AC107" i="7"/>
  <c r="AC108" i="7"/>
  <c r="AC109" i="7"/>
  <c r="U16" i="7"/>
  <c r="V16" i="7"/>
  <c r="W16" i="7"/>
  <c r="U17" i="7"/>
  <c r="V17" i="7"/>
  <c r="W17" i="7"/>
  <c r="U18" i="7"/>
  <c r="V18" i="7"/>
  <c r="W18" i="7"/>
  <c r="U19" i="7"/>
  <c r="V19" i="7"/>
  <c r="W19" i="7"/>
  <c r="U20" i="7"/>
  <c r="V20" i="7"/>
  <c r="W20" i="7"/>
  <c r="U21" i="7"/>
  <c r="V21" i="7"/>
  <c r="W21" i="7"/>
  <c r="U22" i="7"/>
  <c r="V22" i="7"/>
  <c r="W22" i="7"/>
  <c r="U23" i="7"/>
  <c r="V23" i="7"/>
  <c r="W23" i="7"/>
  <c r="U25" i="7"/>
  <c r="V25" i="7"/>
  <c r="W25" i="7"/>
  <c r="U26" i="7"/>
  <c r="V26" i="7"/>
  <c r="W26" i="7"/>
  <c r="U27" i="7"/>
  <c r="V27" i="7"/>
  <c r="W27" i="7"/>
  <c r="U28" i="7"/>
  <c r="V28" i="7"/>
  <c r="W28" i="7"/>
  <c r="U29" i="7"/>
  <c r="V29" i="7"/>
  <c r="W29" i="7"/>
  <c r="U30" i="7"/>
  <c r="V30" i="7"/>
  <c r="W30" i="7"/>
  <c r="U32" i="7"/>
  <c r="V32" i="7"/>
  <c r="W32" i="7"/>
  <c r="U33" i="7"/>
  <c r="V33" i="7"/>
  <c r="W33" i="7"/>
  <c r="U34" i="7"/>
  <c r="V34" i="7"/>
  <c r="W34" i="7"/>
  <c r="U35" i="7"/>
  <c r="V35" i="7"/>
  <c r="W35" i="7"/>
  <c r="U36" i="7"/>
  <c r="V36" i="7"/>
  <c r="W36" i="7"/>
  <c r="U37" i="7"/>
  <c r="V37" i="7"/>
  <c r="W37" i="7"/>
  <c r="U38" i="7"/>
  <c r="V38" i="7"/>
  <c r="W38" i="7"/>
  <c r="U39" i="7"/>
  <c r="V39" i="7"/>
  <c r="W39" i="7"/>
  <c r="U40" i="7"/>
  <c r="V40" i="7"/>
  <c r="W40" i="7"/>
  <c r="U41" i="7"/>
  <c r="V41" i="7"/>
  <c r="W41" i="7"/>
  <c r="U42" i="7"/>
  <c r="V42" i="7"/>
  <c r="W42" i="7"/>
  <c r="U43" i="7"/>
  <c r="V43" i="7"/>
  <c r="W43" i="7"/>
  <c r="U44" i="7"/>
  <c r="V44" i="7"/>
  <c r="W44" i="7"/>
  <c r="U45" i="7"/>
  <c r="V45" i="7"/>
  <c r="W45" i="7"/>
  <c r="U46" i="7"/>
  <c r="V46" i="7"/>
  <c r="W46" i="7"/>
  <c r="U47" i="7"/>
  <c r="V47" i="7"/>
  <c r="W47" i="7"/>
  <c r="U48" i="7"/>
  <c r="V48" i="7"/>
  <c r="W48" i="7"/>
  <c r="U49" i="7"/>
  <c r="V49" i="7"/>
  <c r="W49" i="7"/>
  <c r="U50" i="7"/>
  <c r="V50" i="7"/>
  <c r="W50" i="7"/>
  <c r="U51" i="7"/>
  <c r="V51" i="7"/>
  <c r="W51" i="7"/>
  <c r="U52" i="7"/>
  <c r="V52" i="7"/>
  <c r="W52" i="7"/>
  <c r="U54" i="7"/>
  <c r="V54" i="7"/>
  <c r="W54" i="7"/>
  <c r="U55" i="7"/>
  <c r="V55" i="7"/>
  <c r="W55" i="7"/>
  <c r="U56" i="7"/>
  <c r="V56" i="7"/>
  <c r="W56" i="7"/>
  <c r="U57" i="7"/>
  <c r="V57" i="7"/>
  <c r="W57" i="7"/>
  <c r="U58" i="7"/>
  <c r="V58" i="7"/>
  <c r="W58" i="7"/>
  <c r="U59" i="7"/>
  <c r="V59" i="7"/>
  <c r="W59" i="7"/>
  <c r="U60" i="7"/>
  <c r="V60" i="7"/>
  <c r="W60" i="7"/>
  <c r="U61" i="7"/>
  <c r="V61" i="7"/>
  <c r="W61" i="7"/>
  <c r="U62" i="7"/>
  <c r="V62" i="7"/>
  <c r="W62" i="7"/>
  <c r="U63" i="7"/>
  <c r="V63" i="7"/>
  <c r="W63" i="7"/>
  <c r="U64" i="7"/>
  <c r="V64" i="7"/>
  <c r="W64" i="7"/>
  <c r="U65" i="7"/>
  <c r="V65" i="7"/>
  <c r="W65" i="7"/>
  <c r="U66" i="7"/>
  <c r="V66" i="7"/>
  <c r="W66" i="7"/>
  <c r="U67" i="7"/>
  <c r="V67" i="7"/>
  <c r="W67" i="7"/>
  <c r="U69" i="7"/>
  <c r="V69" i="7"/>
  <c r="W69" i="7"/>
  <c r="U70" i="7"/>
  <c r="V70" i="7"/>
  <c r="W70" i="7"/>
  <c r="U71" i="7"/>
  <c r="V71" i="7"/>
  <c r="W71" i="7"/>
  <c r="U72" i="7"/>
  <c r="V72" i="7"/>
  <c r="W72" i="7"/>
  <c r="U73" i="7"/>
  <c r="V73" i="7"/>
  <c r="W73" i="7"/>
  <c r="U74" i="7"/>
  <c r="V74" i="7"/>
  <c r="W74" i="7"/>
  <c r="U75" i="7"/>
  <c r="V75" i="7"/>
  <c r="W75" i="7"/>
  <c r="U76" i="7"/>
  <c r="V76" i="7"/>
  <c r="W76" i="7"/>
  <c r="U77" i="7"/>
  <c r="V77" i="7"/>
  <c r="W77" i="7"/>
  <c r="U79" i="7"/>
  <c r="V79" i="7"/>
  <c r="W79" i="7"/>
  <c r="U80" i="7"/>
  <c r="V80" i="7"/>
  <c r="W80" i="7"/>
  <c r="U81" i="7"/>
  <c r="V81" i="7"/>
  <c r="W81" i="7"/>
  <c r="U82" i="7"/>
  <c r="V82" i="7"/>
  <c r="W82" i="7"/>
  <c r="U83" i="7"/>
  <c r="V83" i="7"/>
  <c r="W83" i="7"/>
  <c r="U84" i="7"/>
  <c r="V84" i="7"/>
  <c r="W84" i="7"/>
  <c r="U85" i="7"/>
  <c r="V85" i="7"/>
  <c r="W85" i="7"/>
  <c r="U86" i="7"/>
  <c r="V86" i="7"/>
  <c r="W86" i="7"/>
  <c r="U87" i="7"/>
  <c r="V87" i="7"/>
  <c r="W87" i="7"/>
  <c r="U88" i="7"/>
  <c r="V88" i="7"/>
  <c r="W88" i="7"/>
  <c r="U89" i="7"/>
  <c r="V89" i="7"/>
  <c r="W89" i="7"/>
  <c r="U90" i="7"/>
  <c r="V90" i="7"/>
  <c r="W90" i="7"/>
  <c r="U91" i="7"/>
  <c r="V91" i="7"/>
  <c r="W91" i="7"/>
  <c r="U92" i="7"/>
  <c r="V92" i="7"/>
  <c r="W92" i="7"/>
  <c r="U93" i="7"/>
  <c r="V93" i="7"/>
  <c r="W93" i="7"/>
  <c r="U94" i="7"/>
  <c r="V94" i="7"/>
  <c r="W94" i="7"/>
  <c r="U95" i="7"/>
  <c r="V95" i="7"/>
  <c r="W95" i="7"/>
  <c r="U96" i="7"/>
  <c r="V96" i="7"/>
  <c r="W96" i="7"/>
  <c r="U98" i="7"/>
  <c r="V98" i="7"/>
  <c r="W98" i="7"/>
  <c r="U99" i="7"/>
  <c r="V99" i="7"/>
  <c r="W99" i="7"/>
  <c r="U100" i="7"/>
  <c r="V100" i="7"/>
  <c r="W100" i="7"/>
  <c r="U101" i="7"/>
  <c r="V101" i="7"/>
  <c r="W101" i="7"/>
  <c r="U102" i="7"/>
  <c r="V102" i="7"/>
  <c r="W102" i="7"/>
  <c r="U103" i="7"/>
  <c r="V103" i="7"/>
  <c r="W103" i="7"/>
  <c r="U104" i="7"/>
  <c r="V104" i="7"/>
  <c r="W104" i="7"/>
  <c r="U105" i="7"/>
  <c r="V105" i="7"/>
  <c r="W105" i="7"/>
  <c r="U106" i="7"/>
  <c r="V106" i="7"/>
  <c r="W106" i="7"/>
  <c r="U107" i="7"/>
  <c r="V107" i="7"/>
  <c r="W107" i="7"/>
  <c r="U108" i="7"/>
  <c r="V108" i="7"/>
  <c r="W108" i="7"/>
  <c r="U109" i="7"/>
  <c r="V109" i="7"/>
  <c r="W109" i="7"/>
  <c r="Y16" i="7"/>
  <c r="L5" i="11" s="1"/>
  <c r="Y17" i="7"/>
  <c r="L6" i="11" s="1"/>
  <c r="Y18" i="7"/>
  <c r="L7" i="11" s="1"/>
  <c r="Y19" i="7"/>
  <c r="L8" i="11" s="1"/>
  <c r="Y20" i="7"/>
  <c r="L9" i="11" s="1"/>
  <c r="Y21" i="7"/>
  <c r="L10" i="11" s="1"/>
  <c r="Y22" i="7"/>
  <c r="L11" i="11" s="1"/>
  <c r="Y23" i="7"/>
  <c r="L12" i="11" s="1"/>
  <c r="Y25" i="7"/>
  <c r="L14" i="11" s="1"/>
  <c r="Y26" i="7"/>
  <c r="L15" i="11" s="1"/>
  <c r="Y27" i="7"/>
  <c r="L16" i="11" s="1"/>
  <c r="Y28" i="7"/>
  <c r="L17" i="11" s="1"/>
  <c r="Y29" i="7"/>
  <c r="L18" i="11" s="1"/>
  <c r="Y30" i="7"/>
  <c r="L19" i="11" s="1"/>
  <c r="Y32" i="7"/>
  <c r="L21" i="11" s="1"/>
  <c r="Y33" i="7"/>
  <c r="L22" i="11" s="1"/>
  <c r="Y34" i="7"/>
  <c r="L23" i="11" s="1"/>
  <c r="Y35" i="7"/>
  <c r="L24" i="11" s="1"/>
  <c r="Y36" i="7"/>
  <c r="L25" i="11" s="1"/>
  <c r="Y37" i="7"/>
  <c r="L26" i="11" s="1"/>
  <c r="Y38" i="7"/>
  <c r="L27" i="11" s="1"/>
  <c r="Y39" i="7"/>
  <c r="L28" i="11" s="1"/>
  <c r="Y40" i="7"/>
  <c r="L29" i="11" s="1"/>
  <c r="Y41" i="7"/>
  <c r="L30" i="11" s="1"/>
  <c r="Y42" i="7"/>
  <c r="L31" i="11" s="1"/>
  <c r="Y43" i="7"/>
  <c r="L32" i="11" s="1"/>
  <c r="Y44" i="7"/>
  <c r="L33" i="11" s="1"/>
  <c r="Y45" i="7"/>
  <c r="L34" i="11" s="1"/>
  <c r="Y46" i="7"/>
  <c r="L35" i="11" s="1"/>
  <c r="Y47" i="7"/>
  <c r="L36" i="11" s="1"/>
  <c r="Y48" i="7"/>
  <c r="L37" i="11" s="1"/>
  <c r="Y49" i="7"/>
  <c r="L38" i="11" s="1"/>
  <c r="Y50" i="7"/>
  <c r="L39" i="11" s="1"/>
  <c r="Y51" i="7"/>
  <c r="L40" i="11" s="1"/>
  <c r="Y52" i="7"/>
  <c r="L41" i="11" s="1"/>
  <c r="Y54" i="7"/>
  <c r="L43" i="11" s="1"/>
  <c r="Y55" i="7"/>
  <c r="L44" i="11" s="1"/>
  <c r="Y56" i="7"/>
  <c r="L45" i="11" s="1"/>
  <c r="Y57" i="7"/>
  <c r="L46" i="11" s="1"/>
  <c r="Y58" i="7"/>
  <c r="L47" i="11" s="1"/>
  <c r="Y59" i="7"/>
  <c r="L48" i="11" s="1"/>
  <c r="Y60" i="7"/>
  <c r="L49" i="11" s="1"/>
  <c r="Y61" i="7"/>
  <c r="L50" i="11" s="1"/>
  <c r="Y62" i="7"/>
  <c r="L51" i="11" s="1"/>
  <c r="Y63" i="7"/>
  <c r="L52" i="11" s="1"/>
  <c r="Y64" i="7"/>
  <c r="L53" i="11" s="1"/>
  <c r="Y65" i="7"/>
  <c r="L54" i="11" s="1"/>
  <c r="Y66" i="7"/>
  <c r="L55" i="11" s="1"/>
  <c r="Y67" i="7"/>
  <c r="L56" i="11" s="1"/>
  <c r="Y69" i="7"/>
  <c r="L58" i="11" s="1"/>
  <c r="Y70" i="7"/>
  <c r="L59" i="11" s="1"/>
  <c r="Y71" i="7"/>
  <c r="L60" i="11" s="1"/>
  <c r="Y72" i="7"/>
  <c r="L61" i="11" s="1"/>
  <c r="Y73" i="7"/>
  <c r="L62" i="11" s="1"/>
  <c r="Y74" i="7"/>
  <c r="L63" i="11" s="1"/>
  <c r="Y75" i="7"/>
  <c r="L64" i="11" s="1"/>
  <c r="Y76" i="7"/>
  <c r="L65" i="11" s="1"/>
  <c r="Y77" i="7"/>
  <c r="L66" i="11" s="1"/>
  <c r="Y79" i="7"/>
  <c r="L68" i="11" s="1"/>
  <c r="Y80" i="7"/>
  <c r="L69" i="11" s="1"/>
  <c r="Y81" i="7"/>
  <c r="L70" i="11" s="1"/>
  <c r="Y82" i="7"/>
  <c r="L71" i="11" s="1"/>
  <c r="Y83" i="7"/>
  <c r="L72" i="11" s="1"/>
  <c r="Y84" i="7"/>
  <c r="L73" i="11" s="1"/>
  <c r="Y85" i="7"/>
  <c r="L74" i="11" s="1"/>
  <c r="Y86" i="7"/>
  <c r="L75" i="11" s="1"/>
  <c r="Y87" i="7"/>
  <c r="L76" i="11" s="1"/>
  <c r="Y88" i="7"/>
  <c r="L77" i="11" s="1"/>
  <c r="Y89" i="7"/>
  <c r="L78" i="11" s="1"/>
  <c r="Y90" i="7"/>
  <c r="L79" i="11" s="1"/>
  <c r="Y91" i="7"/>
  <c r="L80" i="11" s="1"/>
  <c r="Y92" i="7"/>
  <c r="L81" i="11" s="1"/>
  <c r="Y93" i="7"/>
  <c r="L82" i="11" s="1"/>
  <c r="Y94" i="7"/>
  <c r="L83" i="11" s="1"/>
  <c r="Y95" i="7"/>
  <c r="L84" i="11" s="1"/>
  <c r="Y96" i="7"/>
  <c r="L85" i="11" s="1"/>
  <c r="Y98" i="7"/>
  <c r="L87" i="11" s="1"/>
  <c r="Y99" i="7"/>
  <c r="L88" i="11" s="1"/>
  <c r="Y100" i="7"/>
  <c r="L89" i="11" s="1"/>
  <c r="Y101" i="7"/>
  <c r="L90" i="11" s="1"/>
  <c r="Y102" i="7"/>
  <c r="L91" i="11" s="1"/>
  <c r="Y103" i="7"/>
  <c r="L92" i="11" s="1"/>
  <c r="Y104" i="7"/>
  <c r="L93" i="11" s="1"/>
  <c r="Y105" i="7"/>
  <c r="L94" i="11" s="1"/>
  <c r="Y106" i="7"/>
  <c r="L95" i="11" s="1"/>
  <c r="Y107" i="7"/>
  <c r="L96" i="11" s="1"/>
  <c r="Y108" i="7"/>
  <c r="L97" i="11" s="1"/>
  <c r="Y109" i="7"/>
  <c r="L98" i="11" s="1"/>
  <c r="V31" i="7" l="1"/>
  <c r="V24" i="7"/>
  <c r="AD31" i="7"/>
  <c r="AD24" i="7"/>
  <c r="Y68" i="7"/>
  <c r="P111" i="7"/>
  <c r="AI111" i="7"/>
  <c r="AJ12" i="7" s="1"/>
  <c r="AL111" i="7"/>
  <c r="N111" i="7"/>
  <c r="O111" i="7"/>
  <c r="W97" i="7"/>
  <c r="U31" i="7"/>
  <c r="U24" i="7"/>
  <c r="Y110" i="7"/>
  <c r="V97" i="7"/>
  <c r="W110" i="7"/>
  <c r="U97" i="7"/>
  <c r="V110" i="7"/>
  <c r="W78" i="7"/>
  <c r="Y97" i="7"/>
  <c r="Y78" i="7"/>
  <c r="U110" i="7"/>
  <c r="V78" i="7"/>
  <c r="Y31" i="7"/>
  <c r="Y24" i="7"/>
  <c r="U78" i="7"/>
  <c r="W68" i="7"/>
  <c r="V53" i="7"/>
  <c r="V68" i="7"/>
  <c r="U53" i="7"/>
  <c r="W31" i="7"/>
  <c r="W24" i="7"/>
  <c r="Y53" i="7"/>
  <c r="U68" i="7"/>
  <c r="AD97" i="7"/>
  <c r="AM53" i="7"/>
  <c r="S68" i="7"/>
  <c r="AC110" i="7"/>
  <c r="AD78" i="7"/>
  <c r="S97" i="7"/>
  <c r="AC68" i="7"/>
  <c r="AM110" i="7"/>
  <c r="S78" i="7"/>
  <c r="AC97" i="7"/>
  <c r="AM68" i="7"/>
  <c r="S31" i="7"/>
  <c r="S24" i="7"/>
  <c r="M111" i="7"/>
  <c r="AK111" i="7"/>
  <c r="AC78" i="7"/>
  <c r="AD53" i="7"/>
  <c r="AM97" i="7"/>
  <c r="AC31" i="7"/>
  <c r="AC24" i="7"/>
  <c r="AM78" i="7"/>
  <c r="S53" i="7"/>
  <c r="AD110" i="7"/>
  <c r="AM31" i="7"/>
  <c r="AM24" i="7"/>
  <c r="W53" i="7"/>
  <c r="AC53" i="7"/>
  <c r="AD68" i="7"/>
  <c r="S110" i="7"/>
  <c r="H111" i="7"/>
  <c r="P42" i="11"/>
  <c r="L20" i="11"/>
  <c r="L42" i="11"/>
  <c r="P99" i="11"/>
  <c r="L13" i="11"/>
  <c r="P57" i="11"/>
  <c r="P86" i="11"/>
  <c r="L99" i="11"/>
  <c r="L57" i="11"/>
  <c r="P67" i="11"/>
  <c r="L86" i="11"/>
  <c r="P20" i="11"/>
  <c r="P13" i="11"/>
  <c r="N86" i="11"/>
  <c r="N20" i="11"/>
  <c r="N13" i="11"/>
  <c r="R99" i="11"/>
  <c r="N67" i="11"/>
  <c r="R57" i="11"/>
  <c r="R86" i="11"/>
  <c r="R67" i="11"/>
  <c r="L67" i="11"/>
  <c r="N42" i="11"/>
  <c r="R20" i="11"/>
  <c r="R13" i="11"/>
  <c r="N99" i="11"/>
  <c r="R42" i="11"/>
  <c r="N57" i="11"/>
  <c r="W111" i="7" l="1"/>
  <c r="T104" i="7"/>
  <c r="J93" i="11" s="1"/>
  <c r="T95" i="7"/>
  <c r="J84" i="11" s="1"/>
  <c r="T87" i="7"/>
  <c r="J76" i="11" s="1"/>
  <c r="T79" i="7"/>
  <c r="J68" i="11" s="1"/>
  <c r="T70" i="7"/>
  <c r="J59" i="11" s="1"/>
  <c r="T61" i="7"/>
  <c r="J50" i="11" s="1"/>
  <c r="T52" i="7"/>
  <c r="J41" i="11" s="1"/>
  <c r="T44" i="7"/>
  <c r="J33" i="11" s="1"/>
  <c r="T36" i="7"/>
  <c r="J25" i="11" s="1"/>
  <c r="T27" i="7"/>
  <c r="J16" i="11" s="1"/>
  <c r="T18" i="7"/>
  <c r="J7" i="11" s="1"/>
  <c r="T103" i="7"/>
  <c r="J92" i="11" s="1"/>
  <c r="T94" i="7"/>
  <c r="J83" i="11" s="1"/>
  <c r="T86" i="7"/>
  <c r="J75" i="11" s="1"/>
  <c r="T77" i="7"/>
  <c r="J66" i="11" s="1"/>
  <c r="T69" i="7"/>
  <c r="J58" i="11" s="1"/>
  <c r="T60" i="7"/>
  <c r="J49" i="11" s="1"/>
  <c r="T51" i="7"/>
  <c r="J40" i="11" s="1"/>
  <c r="T43" i="7"/>
  <c r="J32" i="11" s="1"/>
  <c r="T35" i="7"/>
  <c r="J24" i="11" s="1"/>
  <c r="T26" i="7"/>
  <c r="J15" i="11" s="1"/>
  <c r="T17" i="7"/>
  <c r="J6" i="11" s="1"/>
  <c r="T102" i="7"/>
  <c r="J91" i="11" s="1"/>
  <c r="T93" i="7"/>
  <c r="J82" i="11" s="1"/>
  <c r="T85" i="7"/>
  <c r="J74" i="11" s="1"/>
  <c r="T76" i="7"/>
  <c r="J65" i="11" s="1"/>
  <c r="T67" i="7"/>
  <c r="J56" i="11" s="1"/>
  <c r="T59" i="7"/>
  <c r="J48" i="11" s="1"/>
  <c r="T50" i="7"/>
  <c r="J39" i="11" s="1"/>
  <c r="T42" i="7"/>
  <c r="J31" i="11" s="1"/>
  <c r="T34" i="7"/>
  <c r="J23" i="11" s="1"/>
  <c r="T25" i="7"/>
  <c r="J14" i="11" s="1"/>
  <c r="T16" i="7"/>
  <c r="J5" i="11" s="1"/>
  <c r="T109" i="7"/>
  <c r="J98" i="11" s="1"/>
  <c r="T101" i="7"/>
  <c r="J90" i="11" s="1"/>
  <c r="T92" i="7"/>
  <c r="J81" i="11" s="1"/>
  <c r="T84" i="7"/>
  <c r="J73" i="11" s="1"/>
  <c r="T75" i="7"/>
  <c r="J64" i="11" s="1"/>
  <c r="T66" i="7"/>
  <c r="J55" i="11" s="1"/>
  <c r="T58" i="7"/>
  <c r="J47" i="11" s="1"/>
  <c r="T49" i="7"/>
  <c r="J38" i="11" s="1"/>
  <c r="T41" i="7"/>
  <c r="J30" i="11" s="1"/>
  <c r="T33" i="7"/>
  <c r="J22" i="11" s="1"/>
  <c r="T23" i="7"/>
  <c r="J12" i="11" s="1"/>
  <c r="T108" i="7"/>
  <c r="J97" i="11" s="1"/>
  <c r="T100" i="7"/>
  <c r="J89" i="11" s="1"/>
  <c r="T91" i="7"/>
  <c r="J80" i="11" s="1"/>
  <c r="T83" i="7"/>
  <c r="J72" i="11" s="1"/>
  <c r="T74" i="7"/>
  <c r="J63" i="11" s="1"/>
  <c r="T65" i="7"/>
  <c r="J54" i="11" s="1"/>
  <c r="T57" i="7"/>
  <c r="J46" i="11" s="1"/>
  <c r="T48" i="7"/>
  <c r="J37" i="11" s="1"/>
  <c r="T40" i="7"/>
  <c r="J29" i="11" s="1"/>
  <c r="T32" i="7"/>
  <c r="J21" i="11" s="1"/>
  <c r="T22" i="7"/>
  <c r="J11" i="11" s="1"/>
  <c r="T105" i="7"/>
  <c r="J94" i="11" s="1"/>
  <c r="T96" i="7"/>
  <c r="J85" i="11" s="1"/>
  <c r="T88" i="7"/>
  <c r="J77" i="11" s="1"/>
  <c r="T80" i="7"/>
  <c r="J69" i="11" s="1"/>
  <c r="T71" i="7"/>
  <c r="J60" i="11" s="1"/>
  <c r="T62" i="7"/>
  <c r="J51" i="11" s="1"/>
  <c r="T54" i="7"/>
  <c r="J43" i="11" s="1"/>
  <c r="T45" i="7"/>
  <c r="J34" i="11" s="1"/>
  <c r="T37" i="7"/>
  <c r="J26" i="11" s="1"/>
  <c r="T28" i="7"/>
  <c r="J17" i="11" s="1"/>
  <c r="T19" i="7"/>
  <c r="J8" i="11" s="1"/>
  <c r="T82" i="7"/>
  <c r="J71" i="11" s="1"/>
  <c r="T47" i="7"/>
  <c r="J36" i="11" s="1"/>
  <c r="T81" i="7"/>
  <c r="J70" i="11" s="1"/>
  <c r="T46" i="7"/>
  <c r="J35" i="11" s="1"/>
  <c r="T107" i="7"/>
  <c r="J96" i="11" s="1"/>
  <c r="T73" i="7"/>
  <c r="J62" i="11" s="1"/>
  <c r="T39" i="7"/>
  <c r="J28" i="11" s="1"/>
  <c r="T106" i="7"/>
  <c r="J95" i="11" s="1"/>
  <c r="T72" i="7"/>
  <c r="J61" i="11" s="1"/>
  <c r="T38" i="7"/>
  <c r="J27" i="11" s="1"/>
  <c r="T99" i="7"/>
  <c r="J88" i="11" s="1"/>
  <c r="T64" i="7"/>
  <c r="J53" i="11" s="1"/>
  <c r="T30" i="7"/>
  <c r="J19" i="11" s="1"/>
  <c r="T98" i="7"/>
  <c r="J87" i="11" s="1"/>
  <c r="T63" i="7"/>
  <c r="J52" i="11" s="1"/>
  <c r="T29" i="7"/>
  <c r="J18" i="11" s="1"/>
  <c r="T90" i="7"/>
  <c r="J79" i="11" s="1"/>
  <c r="T56" i="7"/>
  <c r="J45" i="11" s="1"/>
  <c r="T21" i="7"/>
  <c r="J10" i="11" s="1"/>
  <c r="T89" i="7"/>
  <c r="J78" i="11" s="1"/>
  <c r="T55" i="7"/>
  <c r="J44" i="11" s="1"/>
  <c r="T20" i="7"/>
  <c r="J9" i="11" s="1"/>
  <c r="U111" i="7"/>
  <c r="S111" i="7"/>
  <c r="V111" i="7"/>
  <c r="AC111" i="7"/>
  <c r="Y111" i="7"/>
  <c r="AD111" i="7"/>
  <c r="N100" i="11"/>
  <c r="R100" i="11"/>
  <c r="L100" i="11"/>
  <c r="R16" i="7" l="1"/>
  <c r="H5" i="11" s="1"/>
  <c r="R17" i="7"/>
  <c r="H6" i="11" s="1"/>
  <c r="R18" i="7"/>
  <c r="H7" i="11" s="1"/>
  <c r="R19" i="7"/>
  <c r="H8" i="11" s="1"/>
  <c r="R20" i="7"/>
  <c r="H9" i="11" s="1"/>
  <c r="R21" i="7"/>
  <c r="H10" i="11" s="1"/>
  <c r="R22" i="7"/>
  <c r="H11" i="11" s="1"/>
  <c r="R23" i="7"/>
  <c r="H12" i="11" s="1"/>
  <c r="R25" i="7"/>
  <c r="H14" i="11" s="1"/>
  <c r="R26" i="7"/>
  <c r="H15" i="11" s="1"/>
  <c r="R27" i="7"/>
  <c r="H16" i="11" s="1"/>
  <c r="R28" i="7"/>
  <c r="H17" i="11" s="1"/>
  <c r="R29" i="7"/>
  <c r="H18" i="11" s="1"/>
  <c r="R30" i="7"/>
  <c r="H19" i="11" s="1"/>
  <c r="R32" i="7"/>
  <c r="H21" i="11" s="1"/>
  <c r="R33" i="7"/>
  <c r="H22" i="11" s="1"/>
  <c r="R34" i="7"/>
  <c r="H23" i="11" s="1"/>
  <c r="R35" i="7"/>
  <c r="H24" i="11" s="1"/>
  <c r="R36" i="7"/>
  <c r="H25" i="11" s="1"/>
  <c r="R37" i="7"/>
  <c r="H26" i="11" s="1"/>
  <c r="R38" i="7"/>
  <c r="H27" i="11" s="1"/>
  <c r="R39" i="7"/>
  <c r="H28" i="11" s="1"/>
  <c r="R40" i="7"/>
  <c r="H29" i="11" s="1"/>
  <c r="R41" i="7"/>
  <c r="H30" i="11" s="1"/>
  <c r="R42" i="7"/>
  <c r="H31" i="11" s="1"/>
  <c r="R43" i="7"/>
  <c r="H32" i="11" s="1"/>
  <c r="R44" i="7"/>
  <c r="H33" i="11" s="1"/>
  <c r="R45" i="7"/>
  <c r="H34" i="11" s="1"/>
  <c r="R46" i="7"/>
  <c r="H35" i="11" s="1"/>
  <c r="R47" i="7"/>
  <c r="H36" i="11" s="1"/>
  <c r="R48" i="7"/>
  <c r="H37" i="11" s="1"/>
  <c r="R49" i="7"/>
  <c r="H38" i="11" s="1"/>
  <c r="R50" i="7"/>
  <c r="H39" i="11" s="1"/>
  <c r="R51" i="7"/>
  <c r="H40" i="11" s="1"/>
  <c r="R52" i="7"/>
  <c r="H41" i="11" s="1"/>
  <c r="R54" i="7"/>
  <c r="H43" i="11" s="1"/>
  <c r="R55" i="7"/>
  <c r="H44" i="11" s="1"/>
  <c r="R56" i="7"/>
  <c r="H45" i="11" s="1"/>
  <c r="R57" i="7"/>
  <c r="H46" i="11" s="1"/>
  <c r="R58" i="7"/>
  <c r="H47" i="11" s="1"/>
  <c r="R59" i="7"/>
  <c r="H48" i="11" s="1"/>
  <c r="R60" i="7"/>
  <c r="H49" i="11" s="1"/>
  <c r="R61" i="7"/>
  <c r="H50" i="11" s="1"/>
  <c r="R62" i="7"/>
  <c r="H51" i="11" s="1"/>
  <c r="R63" i="7"/>
  <c r="H52" i="11" s="1"/>
  <c r="R64" i="7"/>
  <c r="H53" i="11" s="1"/>
  <c r="R65" i="7"/>
  <c r="H54" i="11" s="1"/>
  <c r="R66" i="7"/>
  <c r="H55" i="11" s="1"/>
  <c r="R67" i="7"/>
  <c r="H56" i="11" s="1"/>
  <c r="R69" i="7"/>
  <c r="H58" i="11" s="1"/>
  <c r="R70" i="7"/>
  <c r="H59" i="11" s="1"/>
  <c r="R71" i="7"/>
  <c r="H60" i="11" s="1"/>
  <c r="R72" i="7"/>
  <c r="H61" i="11" s="1"/>
  <c r="R73" i="7"/>
  <c r="H62" i="11" s="1"/>
  <c r="R74" i="7"/>
  <c r="H63" i="11" s="1"/>
  <c r="R75" i="7"/>
  <c r="H64" i="11" s="1"/>
  <c r="R76" i="7"/>
  <c r="H65" i="11" s="1"/>
  <c r="R77" i="7"/>
  <c r="H66" i="11" s="1"/>
  <c r="R79" i="7"/>
  <c r="H68" i="11" s="1"/>
  <c r="R80" i="7"/>
  <c r="H69" i="11" s="1"/>
  <c r="R81" i="7"/>
  <c r="H70" i="11" s="1"/>
  <c r="R82" i="7"/>
  <c r="H71" i="11" s="1"/>
  <c r="R83" i="7"/>
  <c r="H72" i="11" s="1"/>
  <c r="R84" i="7"/>
  <c r="H73" i="11" s="1"/>
  <c r="R85" i="7"/>
  <c r="H74" i="11" s="1"/>
  <c r="R86" i="7"/>
  <c r="H75" i="11" s="1"/>
  <c r="R87" i="7"/>
  <c r="H76" i="11" s="1"/>
  <c r="R88" i="7"/>
  <c r="H77" i="11" s="1"/>
  <c r="R89" i="7"/>
  <c r="H78" i="11" s="1"/>
  <c r="R90" i="7"/>
  <c r="H79" i="11" s="1"/>
  <c r="R91" i="7"/>
  <c r="H80" i="11" s="1"/>
  <c r="R92" i="7"/>
  <c r="H81" i="11" s="1"/>
  <c r="R93" i="7"/>
  <c r="H82" i="11" s="1"/>
  <c r="R94" i="7"/>
  <c r="H83" i="11" s="1"/>
  <c r="R95" i="7"/>
  <c r="H84" i="11" s="1"/>
  <c r="R96" i="7"/>
  <c r="H85" i="11" s="1"/>
  <c r="R98" i="7"/>
  <c r="H87" i="11" s="1"/>
  <c r="R99" i="7"/>
  <c r="H88" i="11" s="1"/>
  <c r="R100" i="7"/>
  <c r="H89" i="11" s="1"/>
  <c r="R101" i="7"/>
  <c r="H90" i="11" s="1"/>
  <c r="R102" i="7"/>
  <c r="H91" i="11" s="1"/>
  <c r="R103" i="7"/>
  <c r="H92" i="11" s="1"/>
  <c r="R104" i="7"/>
  <c r="H93" i="11" s="1"/>
  <c r="R105" i="7"/>
  <c r="H94" i="11" s="1"/>
  <c r="R106" i="7"/>
  <c r="H95" i="11" s="1"/>
  <c r="R107" i="7"/>
  <c r="H96" i="11" s="1"/>
  <c r="R108" i="7"/>
  <c r="H97" i="11" s="1"/>
  <c r="R109" i="7"/>
  <c r="H98" i="11" s="1"/>
  <c r="R110" i="7" l="1"/>
  <c r="R68" i="7"/>
  <c r="R97" i="7"/>
  <c r="R78" i="7"/>
  <c r="R31" i="7"/>
  <c r="R24" i="7"/>
  <c r="R53" i="7"/>
  <c r="H99" i="11"/>
  <c r="H57" i="11"/>
  <c r="H86" i="11"/>
  <c r="H67" i="11"/>
  <c r="H20" i="11"/>
  <c r="H13" i="11"/>
  <c r="H42" i="11"/>
  <c r="L16" i="7"/>
  <c r="L17" i="7"/>
  <c r="L18" i="7"/>
  <c r="L19" i="7"/>
  <c r="L20" i="7"/>
  <c r="L21" i="7"/>
  <c r="L22" i="7"/>
  <c r="L23" i="7"/>
  <c r="L25" i="7"/>
  <c r="L26" i="7"/>
  <c r="L27" i="7"/>
  <c r="L28" i="7"/>
  <c r="L29" i="7"/>
  <c r="L30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9" i="7"/>
  <c r="L70" i="7"/>
  <c r="L71" i="7"/>
  <c r="L72" i="7"/>
  <c r="L73" i="7"/>
  <c r="L74" i="7"/>
  <c r="L75" i="7"/>
  <c r="L76" i="7"/>
  <c r="L77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K16" i="7"/>
  <c r="K17" i="7"/>
  <c r="K18" i="7"/>
  <c r="K19" i="7"/>
  <c r="K20" i="7"/>
  <c r="K21" i="7"/>
  <c r="K22" i="7"/>
  <c r="K23" i="7"/>
  <c r="K25" i="7"/>
  <c r="K26" i="7"/>
  <c r="K27" i="7"/>
  <c r="K28" i="7"/>
  <c r="K29" i="7"/>
  <c r="K30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9" i="7"/>
  <c r="K70" i="7"/>
  <c r="K71" i="7"/>
  <c r="K72" i="7"/>
  <c r="K73" i="7"/>
  <c r="K74" i="7"/>
  <c r="K75" i="7"/>
  <c r="K76" i="7"/>
  <c r="K77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F105" i="13"/>
  <c r="G105" i="13" s="1"/>
  <c r="H105" i="13" s="1"/>
  <c r="I105" i="13" s="1"/>
  <c r="J105" i="13" s="1"/>
  <c r="K105" i="13" s="1"/>
  <c r="L105" i="13" s="1"/>
  <c r="M105" i="13" s="1"/>
  <c r="N105" i="13" s="1"/>
  <c r="O105" i="13" s="1"/>
  <c r="P105" i="13" s="1"/>
  <c r="Q105" i="13" s="1"/>
  <c r="R105" i="13" s="1"/>
  <c r="S105" i="13" s="1"/>
  <c r="T105" i="13" s="1"/>
  <c r="U105" i="13" s="1"/>
  <c r="V105" i="13" s="1"/>
  <c r="W105" i="13" s="1"/>
  <c r="X105" i="13" s="1"/>
  <c r="Y105" i="13" s="1"/>
  <c r="Z105" i="13" s="1"/>
  <c r="AA105" i="13" s="1"/>
  <c r="AB105" i="13" s="1"/>
  <c r="AC105" i="13" s="1"/>
  <c r="AD105" i="13" s="1"/>
  <c r="AE105" i="13" s="1"/>
  <c r="AF105" i="13" s="1"/>
  <c r="AG105" i="13" s="1"/>
  <c r="J16" i="7"/>
  <c r="J17" i="7"/>
  <c r="J18" i="7"/>
  <c r="J19" i="7"/>
  <c r="J20" i="7"/>
  <c r="J21" i="7"/>
  <c r="J22" i="7"/>
  <c r="J23" i="7"/>
  <c r="J25" i="7"/>
  <c r="J26" i="7"/>
  <c r="J27" i="7"/>
  <c r="J28" i="7"/>
  <c r="J29" i="7"/>
  <c r="J30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9" i="7"/>
  <c r="J70" i="7"/>
  <c r="J71" i="7"/>
  <c r="J72" i="7"/>
  <c r="J73" i="7"/>
  <c r="J74" i="7"/>
  <c r="J75" i="7"/>
  <c r="J76" i="7"/>
  <c r="J77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R111" i="7" l="1"/>
  <c r="J97" i="7"/>
  <c r="K110" i="7"/>
  <c r="L78" i="7"/>
  <c r="J78" i="7"/>
  <c r="K68" i="7"/>
  <c r="L31" i="7"/>
  <c r="L24" i="7"/>
  <c r="J68" i="7"/>
  <c r="J31" i="7"/>
  <c r="J24" i="7"/>
  <c r="K97" i="7"/>
  <c r="K78" i="7"/>
  <c r="L53" i="7"/>
  <c r="J53" i="7"/>
  <c r="K31" i="7"/>
  <c r="K24" i="7"/>
  <c r="L110" i="7"/>
  <c r="K53" i="7"/>
  <c r="L68" i="7"/>
  <c r="J110" i="7"/>
  <c r="L97" i="7"/>
  <c r="H100" i="11"/>
  <c r="W4" i="4"/>
  <c r="W5" i="4"/>
  <c r="W6" i="4"/>
  <c r="W7" i="4"/>
  <c r="W8" i="4"/>
  <c r="W9" i="4"/>
  <c r="W10" i="4"/>
  <c r="W11" i="4"/>
  <c r="W13" i="4"/>
  <c r="W14" i="4"/>
  <c r="W15" i="4"/>
  <c r="W16" i="4"/>
  <c r="W17" i="4"/>
  <c r="W18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7" i="4"/>
  <c r="W58" i="4"/>
  <c r="W59" i="4"/>
  <c r="W60" i="4"/>
  <c r="W61" i="4"/>
  <c r="W62" i="4"/>
  <c r="W63" i="4"/>
  <c r="W64" i="4"/>
  <c r="W65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6" i="4"/>
  <c r="W87" i="4"/>
  <c r="W88" i="4"/>
  <c r="W89" i="4"/>
  <c r="W90" i="4"/>
  <c r="W91" i="4"/>
  <c r="W92" i="4"/>
  <c r="W93" i="4"/>
  <c r="W94" i="4"/>
  <c r="W95" i="4"/>
  <c r="W96" i="4"/>
  <c r="W97" i="4"/>
  <c r="W66" i="4" l="1"/>
  <c r="W19" i="4"/>
  <c r="W12" i="4"/>
  <c r="W41" i="4"/>
  <c r="W98" i="4"/>
  <c r="W56" i="4"/>
  <c r="W85" i="4"/>
  <c r="L111" i="7"/>
  <c r="K111" i="7"/>
  <c r="U99" i="13"/>
  <c r="T99" i="13"/>
  <c r="S99" i="13"/>
  <c r="R99" i="13"/>
  <c r="Q99" i="13"/>
  <c r="P99" i="13"/>
  <c r="O99" i="13"/>
  <c r="N99" i="13"/>
  <c r="M99" i="13"/>
  <c r="L99" i="13"/>
  <c r="K99" i="13"/>
  <c r="J99" i="13"/>
  <c r="G99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G86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G6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G57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G42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G20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G13" i="13"/>
  <c r="AB98" i="5"/>
  <c r="AA98" i="5"/>
  <c r="X98" i="5"/>
  <c r="W98" i="5"/>
  <c r="U98" i="5"/>
  <c r="T98" i="5"/>
  <c r="S98" i="5"/>
  <c r="R98" i="5"/>
  <c r="Q98" i="5"/>
  <c r="P98" i="5"/>
  <c r="O98" i="5"/>
  <c r="N98" i="5"/>
  <c r="M98" i="5"/>
  <c r="L98" i="5"/>
  <c r="K98" i="5"/>
  <c r="H98" i="5"/>
  <c r="AB85" i="5"/>
  <c r="AA85" i="5"/>
  <c r="X85" i="5"/>
  <c r="W85" i="5"/>
  <c r="U85" i="5"/>
  <c r="T85" i="5"/>
  <c r="S85" i="5"/>
  <c r="R85" i="5"/>
  <c r="Q85" i="5"/>
  <c r="P85" i="5"/>
  <c r="O85" i="5"/>
  <c r="N85" i="5"/>
  <c r="M85" i="5"/>
  <c r="L85" i="5"/>
  <c r="K85" i="5"/>
  <c r="H85" i="5"/>
  <c r="AB66" i="5"/>
  <c r="AA66" i="5"/>
  <c r="X66" i="5"/>
  <c r="W66" i="5"/>
  <c r="U66" i="5"/>
  <c r="T66" i="5"/>
  <c r="S66" i="5"/>
  <c r="R66" i="5"/>
  <c r="Q66" i="5"/>
  <c r="P66" i="5"/>
  <c r="O66" i="5"/>
  <c r="N66" i="5"/>
  <c r="M66" i="5"/>
  <c r="L66" i="5"/>
  <c r="K66" i="5"/>
  <c r="H66" i="5"/>
  <c r="AB56" i="5"/>
  <c r="AA56" i="5"/>
  <c r="X56" i="5"/>
  <c r="W56" i="5"/>
  <c r="U56" i="5"/>
  <c r="T56" i="5"/>
  <c r="S56" i="5"/>
  <c r="R56" i="5"/>
  <c r="Q56" i="5"/>
  <c r="P56" i="5"/>
  <c r="O56" i="5"/>
  <c r="N56" i="5"/>
  <c r="M56" i="5"/>
  <c r="L56" i="5"/>
  <c r="K56" i="5"/>
  <c r="H56" i="5"/>
  <c r="AB41" i="5"/>
  <c r="AA41" i="5"/>
  <c r="X41" i="5"/>
  <c r="W41" i="5"/>
  <c r="U41" i="5"/>
  <c r="T41" i="5"/>
  <c r="S41" i="5"/>
  <c r="R41" i="5"/>
  <c r="Q41" i="5"/>
  <c r="P41" i="5"/>
  <c r="O41" i="5"/>
  <c r="N41" i="5"/>
  <c r="M41" i="5"/>
  <c r="L41" i="5"/>
  <c r="K41" i="5"/>
  <c r="H41" i="5"/>
  <c r="AB19" i="5"/>
  <c r="AA19" i="5"/>
  <c r="X19" i="5"/>
  <c r="W19" i="5"/>
  <c r="U19" i="5"/>
  <c r="T19" i="5"/>
  <c r="S19" i="5"/>
  <c r="R19" i="5"/>
  <c r="Q19" i="5"/>
  <c r="P19" i="5"/>
  <c r="O19" i="5"/>
  <c r="N19" i="5"/>
  <c r="M19" i="5"/>
  <c r="L19" i="5"/>
  <c r="K19" i="5"/>
  <c r="H19" i="5"/>
  <c r="AB12" i="5"/>
  <c r="AA12" i="5"/>
  <c r="X12" i="5"/>
  <c r="W12" i="5"/>
  <c r="U12" i="5"/>
  <c r="T12" i="5"/>
  <c r="S12" i="5"/>
  <c r="S99" i="5" s="1"/>
  <c r="C6" i="6" s="1"/>
  <c r="R12" i="5"/>
  <c r="Q12" i="5"/>
  <c r="P12" i="5"/>
  <c r="O12" i="5"/>
  <c r="N12" i="5"/>
  <c r="N99" i="5" s="1"/>
  <c r="M12" i="5"/>
  <c r="L12" i="5"/>
  <c r="K12" i="5"/>
  <c r="K99" i="5" s="1"/>
  <c r="H12" i="5"/>
  <c r="AB99" i="5"/>
  <c r="AA99" i="5"/>
  <c r="X99" i="5"/>
  <c r="W99" i="5"/>
  <c r="C10" i="6" s="1"/>
  <c r="T99" i="5"/>
  <c r="C7" i="6" s="1"/>
  <c r="Q99" i="5"/>
  <c r="P99" i="5"/>
  <c r="O99" i="5"/>
  <c r="L99" i="5"/>
  <c r="R99" i="5" l="1"/>
  <c r="C5" i="6" s="1"/>
  <c r="H99" i="5"/>
  <c r="Y3" i="13"/>
  <c r="C3" i="6"/>
  <c r="AD3" i="13"/>
  <c r="C4" i="6"/>
  <c r="W99" i="4"/>
  <c r="P100" i="13"/>
  <c r="G100" i="13"/>
  <c r="Q100" i="13"/>
  <c r="K100" i="13"/>
  <c r="S100" i="13"/>
  <c r="O100" i="13"/>
  <c r="M100" i="13"/>
  <c r="U100" i="13"/>
  <c r="N100" i="13"/>
  <c r="J100" i="13"/>
  <c r="R100" i="13"/>
  <c r="L100" i="13"/>
  <c r="T100" i="13"/>
  <c r="M99" i="5"/>
  <c r="U99" i="5"/>
  <c r="C8" i="6" s="1"/>
  <c r="C9" i="6" l="1"/>
  <c r="V5" i="13"/>
  <c r="V6" i="13"/>
  <c r="V7" i="13"/>
  <c r="V8" i="13"/>
  <c r="V9" i="13"/>
  <c r="V10" i="13"/>
  <c r="V11" i="13"/>
  <c r="V12" i="13"/>
  <c r="V14" i="13"/>
  <c r="V15" i="13"/>
  <c r="V16" i="13"/>
  <c r="V17" i="13"/>
  <c r="V18" i="13"/>
  <c r="V19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8" i="13"/>
  <c r="V59" i="13"/>
  <c r="V60" i="13"/>
  <c r="V61" i="13"/>
  <c r="V62" i="13"/>
  <c r="V63" i="13"/>
  <c r="V64" i="13"/>
  <c r="V65" i="13"/>
  <c r="V66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87" i="13"/>
  <c r="V88" i="13"/>
  <c r="V89" i="13"/>
  <c r="V90" i="13"/>
  <c r="V91" i="13"/>
  <c r="V92" i="13"/>
  <c r="V93" i="13"/>
  <c r="V94" i="13"/>
  <c r="V95" i="13"/>
  <c r="V96" i="13"/>
  <c r="V97" i="13"/>
  <c r="V98" i="13"/>
  <c r="V67" i="13" l="1"/>
  <c r="V20" i="13"/>
  <c r="V13" i="13"/>
  <c r="V42" i="13"/>
  <c r="V99" i="13"/>
  <c r="V57" i="13"/>
  <c r="V86" i="13"/>
  <c r="J111" i="7" l="1"/>
  <c r="I16" i="7"/>
  <c r="G5" i="11" s="1"/>
  <c r="I17" i="7"/>
  <c r="G6" i="11" s="1"/>
  <c r="I18" i="7"/>
  <c r="G7" i="11" s="1"/>
  <c r="I19" i="7"/>
  <c r="G8" i="11" s="1"/>
  <c r="I20" i="7"/>
  <c r="G9" i="11" s="1"/>
  <c r="I21" i="7"/>
  <c r="G10" i="11" s="1"/>
  <c r="I22" i="7"/>
  <c r="G11" i="11" s="1"/>
  <c r="I23" i="7"/>
  <c r="G12" i="11" s="1"/>
  <c r="I25" i="7"/>
  <c r="G14" i="11" s="1"/>
  <c r="I26" i="7"/>
  <c r="G15" i="11" s="1"/>
  <c r="I27" i="7"/>
  <c r="G16" i="11" s="1"/>
  <c r="I28" i="7"/>
  <c r="G17" i="11" s="1"/>
  <c r="I29" i="7"/>
  <c r="G18" i="11" s="1"/>
  <c r="I30" i="7"/>
  <c r="G19" i="11" s="1"/>
  <c r="I32" i="7"/>
  <c r="G21" i="11" s="1"/>
  <c r="I33" i="7"/>
  <c r="G22" i="11" s="1"/>
  <c r="I34" i="7"/>
  <c r="G23" i="11" s="1"/>
  <c r="I35" i="7"/>
  <c r="G24" i="11" s="1"/>
  <c r="I36" i="7"/>
  <c r="G25" i="11" s="1"/>
  <c r="I37" i="7"/>
  <c r="G26" i="11" s="1"/>
  <c r="I38" i="7"/>
  <c r="G27" i="11" s="1"/>
  <c r="I39" i="7"/>
  <c r="G28" i="11" s="1"/>
  <c r="I40" i="7"/>
  <c r="G29" i="11" s="1"/>
  <c r="I41" i="7"/>
  <c r="G30" i="11" s="1"/>
  <c r="I42" i="7"/>
  <c r="G31" i="11" s="1"/>
  <c r="I43" i="7"/>
  <c r="G32" i="11" s="1"/>
  <c r="I44" i="7"/>
  <c r="G33" i="11" s="1"/>
  <c r="I45" i="7"/>
  <c r="G34" i="11" s="1"/>
  <c r="I46" i="7"/>
  <c r="G35" i="11" s="1"/>
  <c r="I47" i="7"/>
  <c r="G36" i="11" s="1"/>
  <c r="I48" i="7"/>
  <c r="G37" i="11" s="1"/>
  <c r="I49" i="7"/>
  <c r="G38" i="11" s="1"/>
  <c r="I50" i="7"/>
  <c r="G39" i="11" s="1"/>
  <c r="I51" i="7"/>
  <c r="G40" i="11" s="1"/>
  <c r="I52" i="7"/>
  <c r="G41" i="11" s="1"/>
  <c r="I54" i="7"/>
  <c r="G43" i="11" s="1"/>
  <c r="I55" i="7"/>
  <c r="G44" i="11" s="1"/>
  <c r="I56" i="7"/>
  <c r="G45" i="11" s="1"/>
  <c r="I57" i="7"/>
  <c r="G46" i="11" s="1"/>
  <c r="I58" i="7"/>
  <c r="G47" i="11" s="1"/>
  <c r="I59" i="7"/>
  <c r="G48" i="11" s="1"/>
  <c r="I60" i="7"/>
  <c r="G49" i="11" s="1"/>
  <c r="I61" i="7"/>
  <c r="G50" i="11" s="1"/>
  <c r="I62" i="7"/>
  <c r="G51" i="11" s="1"/>
  <c r="I63" i="7"/>
  <c r="G52" i="11" s="1"/>
  <c r="I64" i="7"/>
  <c r="G53" i="11" s="1"/>
  <c r="I65" i="7"/>
  <c r="G54" i="11" s="1"/>
  <c r="I66" i="7"/>
  <c r="G55" i="11" s="1"/>
  <c r="I67" i="7"/>
  <c r="G56" i="11" s="1"/>
  <c r="I69" i="7"/>
  <c r="G58" i="11" s="1"/>
  <c r="I70" i="7"/>
  <c r="G59" i="11" s="1"/>
  <c r="I71" i="7"/>
  <c r="G60" i="11" s="1"/>
  <c r="I72" i="7"/>
  <c r="G61" i="11" s="1"/>
  <c r="I73" i="7"/>
  <c r="G62" i="11" s="1"/>
  <c r="I74" i="7"/>
  <c r="G63" i="11" s="1"/>
  <c r="I75" i="7"/>
  <c r="G64" i="11" s="1"/>
  <c r="I76" i="7"/>
  <c r="G65" i="11" s="1"/>
  <c r="I77" i="7"/>
  <c r="G66" i="11" s="1"/>
  <c r="I79" i="7"/>
  <c r="G68" i="11" s="1"/>
  <c r="I80" i="7"/>
  <c r="G69" i="11" s="1"/>
  <c r="I81" i="7"/>
  <c r="G70" i="11" s="1"/>
  <c r="I82" i="7"/>
  <c r="G71" i="11" s="1"/>
  <c r="I83" i="7"/>
  <c r="G72" i="11" s="1"/>
  <c r="I84" i="7"/>
  <c r="G73" i="11" s="1"/>
  <c r="I85" i="7"/>
  <c r="G74" i="11" s="1"/>
  <c r="I86" i="7"/>
  <c r="G75" i="11" s="1"/>
  <c r="I87" i="7"/>
  <c r="G76" i="11" s="1"/>
  <c r="I88" i="7"/>
  <c r="G77" i="11" s="1"/>
  <c r="I89" i="7"/>
  <c r="G78" i="11" s="1"/>
  <c r="I90" i="7"/>
  <c r="G79" i="11" s="1"/>
  <c r="I91" i="7"/>
  <c r="G80" i="11" s="1"/>
  <c r="I92" i="7"/>
  <c r="G81" i="11" s="1"/>
  <c r="I93" i="7"/>
  <c r="G82" i="11" s="1"/>
  <c r="I94" i="7"/>
  <c r="G83" i="11" s="1"/>
  <c r="I95" i="7"/>
  <c r="G84" i="11" s="1"/>
  <c r="I96" i="7"/>
  <c r="G85" i="11" s="1"/>
  <c r="I98" i="7"/>
  <c r="G87" i="11" s="1"/>
  <c r="I99" i="7"/>
  <c r="G88" i="11" s="1"/>
  <c r="I100" i="7"/>
  <c r="G89" i="11" s="1"/>
  <c r="I101" i="7"/>
  <c r="G90" i="11" s="1"/>
  <c r="I102" i="7"/>
  <c r="G91" i="11" s="1"/>
  <c r="I103" i="7"/>
  <c r="G92" i="11" s="1"/>
  <c r="I104" i="7"/>
  <c r="G93" i="11" s="1"/>
  <c r="I105" i="7"/>
  <c r="G94" i="11" s="1"/>
  <c r="I106" i="7"/>
  <c r="G95" i="11" s="1"/>
  <c r="I107" i="7"/>
  <c r="G96" i="11" s="1"/>
  <c r="I108" i="7"/>
  <c r="G97" i="11" s="1"/>
  <c r="I109" i="7"/>
  <c r="G98" i="11" s="1"/>
  <c r="Z5" i="5" l="1"/>
  <c r="Z6" i="5"/>
  <c r="Z7" i="5"/>
  <c r="Z8" i="5"/>
  <c r="Z9" i="5"/>
  <c r="Z10" i="5"/>
  <c r="Z11" i="5"/>
  <c r="Z14" i="5"/>
  <c r="Z15" i="5"/>
  <c r="Z16" i="5"/>
  <c r="Z17" i="5"/>
  <c r="Z18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8" i="5"/>
  <c r="Z59" i="5"/>
  <c r="Z60" i="5"/>
  <c r="Z61" i="5"/>
  <c r="Z62" i="5"/>
  <c r="Z63" i="5"/>
  <c r="Z64" i="5"/>
  <c r="Z65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7" i="5"/>
  <c r="Z88" i="5"/>
  <c r="Z89" i="5"/>
  <c r="Z90" i="5"/>
  <c r="Z91" i="5"/>
  <c r="Z92" i="5"/>
  <c r="Z93" i="5"/>
  <c r="Z94" i="5"/>
  <c r="Z95" i="5"/>
  <c r="Z96" i="5"/>
  <c r="Z97" i="5"/>
  <c r="V4" i="5"/>
  <c r="V5" i="5"/>
  <c r="V6" i="5"/>
  <c r="V7" i="5"/>
  <c r="V8" i="5"/>
  <c r="V9" i="5"/>
  <c r="V10" i="5"/>
  <c r="V11" i="5"/>
  <c r="V13" i="5"/>
  <c r="V14" i="5"/>
  <c r="V15" i="5"/>
  <c r="V16" i="5"/>
  <c r="V17" i="5"/>
  <c r="V18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7" i="5"/>
  <c r="V58" i="5"/>
  <c r="V59" i="5"/>
  <c r="V60" i="5"/>
  <c r="V61" i="5"/>
  <c r="V62" i="5"/>
  <c r="V63" i="5"/>
  <c r="V64" i="5"/>
  <c r="V65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6" i="5"/>
  <c r="V87" i="5"/>
  <c r="V88" i="5"/>
  <c r="V89" i="5"/>
  <c r="V90" i="5"/>
  <c r="V91" i="5"/>
  <c r="V92" i="5"/>
  <c r="V93" i="5"/>
  <c r="V94" i="5"/>
  <c r="V95" i="5"/>
  <c r="V96" i="5"/>
  <c r="V97" i="5"/>
  <c r="V85" i="5" l="1"/>
  <c r="V66" i="5"/>
  <c r="Z20" i="5"/>
  <c r="Z41" i="5" s="1"/>
  <c r="V19" i="5"/>
  <c r="V12" i="5"/>
  <c r="Z86" i="5"/>
  <c r="Z98" i="5" s="1"/>
  <c r="Z42" i="5"/>
  <c r="Z56" i="5" s="1"/>
  <c r="Z67" i="5"/>
  <c r="Z85" i="5" s="1"/>
  <c r="Z57" i="5"/>
  <c r="Z66" i="5" s="1"/>
  <c r="V41" i="5"/>
  <c r="V98" i="5"/>
  <c r="V56" i="5"/>
  <c r="Z13" i="5"/>
  <c r="Z19" i="5" s="1"/>
  <c r="Z4" i="5"/>
  <c r="Z12" i="5" s="1"/>
  <c r="C12" i="6" l="1"/>
  <c r="V99" i="5"/>
  <c r="Z99" i="5"/>
  <c r="Z11" i="7" l="1"/>
  <c r="U3" i="13" l="1"/>
  <c r="T3" i="13"/>
  <c r="S3" i="13"/>
  <c r="R3" i="13"/>
  <c r="Q3" i="13"/>
  <c r="P3" i="13"/>
  <c r="O3" i="13"/>
  <c r="N3" i="13"/>
  <c r="M3" i="13"/>
  <c r="L3" i="13"/>
  <c r="K3" i="13"/>
  <c r="W5" i="13" l="1"/>
  <c r="W14" i="13"/>
  <c r="W23" i="13"/>
  <c r="W31" i="13"/>
  <c r="W39" i="13"/>
  <c r="W48" i="13"/>
  <c r="W56" i="13"/>
  <c r="W65" i="13"/>
  <c r="W74" i="13"/>
  <c r="W82" i="13"/>
  <c r="W91" i="13"/>
  <c r="W6" i="13"/>
  <c r="W15" i="13"/>
  <c r="W24" i="13"/>
  <c r="W32" i="13"/>
  <c r="W40" i="13"/>
  <c r="W49" i="13"/>
  <c r="W58" i="13"/>
  <c r="W66" i="13"/>
  <c r="W75" i="13"/>
  <c r="W83" i="13"/>
  <c r="W92" i="13"/>
  <c r="W7" i="13"/>
  <c r="W16" i="13"/>
  <c r="W25" i="13"/>
  <c r="W33" i="13"/>
  <c r="W41" i="13"/>
  <c r="W50" i="13"/>
  <c r="W59" i="13"/>
  <c r="W68" i="13"/>
  <c r="W76" i="13"/>
  <c r="W84" i="13"/>
  <c r="W93" i="13"/>
  <c r="W8" i="13"/>
  <c r="W17" i="13"/>
  <c r="W26" i="13"/>
  <c r="W34" i="13"/>
  <c r="W43" i="13"/>
  <c r="W51" i="13"/>
  <c r="W60" i="13"/>
  <c r="W69" i="13"/>
  <c r="W77" i="13"/>
  <c r="W85" i="13"/>
  <c r="W94" i="13"/>
  <c r="W9" i="13"/>
  <c r="W18" i="13"/>
  <c r="W27" i="13"/>
  <c r="W35" i="13"/>
  <c r="W44" i="13"/>
  <c r="W52" i="13"/>
  <c r="W61" i="13"/>
  <c r="W70" i="13"/>
  <c r="W78" i="13"/>
  <c r="W87" i="13"/>
  <c r="W95" i="13"/>
  <c r="W10" i="13"/>
  <c r="W19" i="13"/>
  <c r="W28" i="13"/>
  <c r="W36" i="13"/>
  <c r="W45" i="13"/>
  <c r="W53" i="13"/>
  <c r="W62" i="13"/>
  <c r="W71" i="13"/>
  <c r="W79" i="13"/>
  <c r="W88" i="13"/>
  <c r="W96" i="13"/>
  <c r="W11" i="13"/>
  <c r="W21" i="13"/>
  <c r="W29" i="13"/>
  <c r="W37" i="13"/>
  <c r="W46" i="13"/>
  <c r="W54" i="13"/>
  <c r="W63" i="13"/>
  <c r="W72" i="13"/>
  <c r="W80" i="13"/>
  <c r="W89" i="13"/>
  <c r="W97" i="13"/>
  <c r="W12" i="13"/>
  <c r="W22" i="13"/>
  <c r="W30" i="13"/>
  <c r="W38" i="13"/>
  <c r="W47" i="13"/>
  <c r="W55" i="13"/>
  <c r="W64" i="13"/>
  <c r="W73" i="13"/>
  <c r="W81" i="13"/>
  <c r="W90" i="13"/>
  <c r="W98" i="13"/>
  <c r="I86" i="11" l="1"/>
  <c r="I67" i="11"/>
  <c r="I20" i="11"/>
  <c r="I57" i="11"/>
  <c r="I13" i="11"/>
  <c r="I42" i="11"/>
  <c r="W99" i="13"/>
  <c r="W86" i="13"/>
  <c r="W20" i="13"/>
  <c r="W13" i="13"/>
  <c r="W42" i="13"/>
  <c r="W57" i="13"/>
  <c r="W67" i="13"/>
  <c r="AC64" i="13"/>
  <c r="X64" i="13"/>
  <c r="AC72" i="13"/>
  <c r="X72" i="13"/>
  <c r="AC79" i="13"/>
  <c r="X79" i="13"/>
  <c r="AC10" i="13"/>
  <c r="X10" i="13"/>
  <c r="AC87" i="13"/>
  <c r="X87" i="13"/>
  <c r="AC18" i="13"/>
  <c r="X18" i="13"/>
  <c r="AC94" i="13"/>
  <c r="X94" i="13"/>
  <c r="AC26" i="13"/>
  <c r="X26" i="13"/>
  <c r="AC33" i="13"/>
  <c r="X33" i="13"/>
  <c r="AC40" i="13"/>
  <c r="X40" i="13"/>
  <c r="AC48" i="13"/>
  <c r="X48" i="13"/>
  <c r="AC55" i="13"/>
  <c r="X55" i="13"/>
  <c r="AC63" i="13"/>
  <c r="X63" i="13"/>
  <c r="AC71" i="13"/>
  <c r="X71" i="13"/>
  <c r="AC78" i="13"/>
  <c r="X78" i="13"/>
  <c r="AC9" i="13"/>
  <c r="X9" i="13"/>
  <c r="AC85" i="13"/>
  <c r="X85" i="13"/>
  <c r="AC17" i="13"/>
  <c r="X17" i="13"/>
  <c r="AC93" i="13"/>
  <c r="X93" i="13"/>
  <c r="AC25" i="13"/>
  <c r="X25" i="13"/>
  <c r="AC32" i="13"/>
  <c r="X32" i="13"/>
  <c r="AC39" i="13"/>
  <c r="X39" i="13"/>
  <c r="AC47" i="13"/>
  <c r="X47" i="13"/>
  <c r="AC54" i="13"/>
  <c r="X54" i="13"/>
  <c r="AC62" i="13"/>
  <c r="X62" i="13"/>
  <c r="AC70" i="13"/>
  <c r="X70" i="13"/>
  <c r="AC77" i="13"/>
  <c r="X77" i="13"/>
  <c r="AC8" i="13"/>
  <c r="X8" i="13"/>
  <c r="AC84" i="13"/>
  <c r="X84" i="13"/>
  <c r="AC16" i="13"/>
  <c r="X16" i="13"/>
  <c r="AC92" i="13"/>
  <c r="X92" i="13"/>
  <c r="AC24" i="13"/>
  <c r="X24" i="13"/>
  <c r="AC31" i="13"/>
  <c r="X31" i="13"/>
  <c r="AC38" i="13"/>
  <c r="X38" i="13"/>
  <c r="AC46" i="13"/>
  <c r="X46" i="13"/>
  <c r="AC53" i="13"/>
  <c r="X53" i="13"/>
  <c r="AC61" i="13"/>
  <c r="X61" i="13"/>
  <c r="AC69" i="13"/>
  <c r="X69" i="13"/>
  <c r="AC76" i="13"/>
  <c r="X76" i="13"/>
  <c r="AC7" i="13"/>
  <c r="X7" i="13"/>
  <c r="AC83" i="13"/>
  <c r="X83" i="13"/>
  <c r="AC15" i="13"/>
  <c r="X15" i="13"/>
  <c r="AC91" i="13"/>
  <c r="X91" i="13"/>
  <c r="AC23" i="13"/>
  <c r="X23" i="13"/>
  <c r="AC98" i="13"/>
  <c r="X98" i="13"/>
  <c r="AC30" i="13"/>
  <c r="X30" i="13"/>
  <c r="AC37" i="13"/>
  <c r="X37" i="13"/>
  <c r="AC45" i="13"/>
  <c r="X45" i="13"/>
  <c r="AC52" i="13"/>
  <c r="X52" i="13"/>
  <c r="AC60" i="13"/>
  <c r="X60" i="13"/>
  <c r="AC68" i="13"/>
  <c r="X68" i="13"/>
  <c r="AC75" i="13"/>
  <c r="X75" i="13"/>
  <c r="AC6" i="13"/>
  <c r="X6" i="13"/>
  <c r="AC82" i="13"/>
  <c r="X82" i="13"/>
  <c r="AC14" i="13"/>
  <c r="X14" i="13"/>
  <c r="AC90" i="13"/>
  <c r="X90" i="13"/>
  <c r="AC22" i="13"/>
  <c r="X22" i="13"/>
  <c r="AC97" i="13"/>
  <c r="X97" i="13"/>
  <c r="AC29" i="13"/>
  <c r="X29" i="13"/>
  <c r="AC36" i="13"/>
  <c r="X36" i="13"/>
  <c r="AC44" i="13"/>
  <c r="X44" i="13"/>
  <c r="AC51" i="13"/>
  <c r="X51" i="13"/>
  <c r="AC59" i="13"/>
  <c r="X59" i="13"/>
  <c r="AC66" i="13"/>
  <c r="X66" i="13"/>
  <c r="AC74" i="13"/>
  <c r="X74" i="13"/>
  <c r="AC5" i="13"/>
  <c r="X5" i="13"/>
  <c r="AC81" i="13"/>
  <c r="X81" i="13"/>
  <c r="AC12" i="13"/>
  <c r="X12" i="13"/>
  <c r="AC89" i="13"/>
  <c r="X89" i="13"/>
  <c r="AC21" i="13"/>
  <c r="X21" i="13"/>
  <c r="AC96" i="13"/>
  <c r="X96" i="13"/>
  <c r="AC28" i="13"/>
  <c r="X28" i="13"/>
  <c r="AC35" i="13"/>
  <c r="X35" i="13"/>
  <c r="AC43" i="13"/>
  <c r="X43" i="13"/>
  <c r="AC50" i="13"/>
  <c r="X50" i="13"/>
  <c r="AC58" i="13"/>
  <c r="X58" i="13"/>
  <c r="AC65" i="13"/>
  <c r="X65" i="13"/>
  <c r="AC73" i="13"/>
  <c r="X73" i="13"/>
  <c r="AC80" i="13"/>
  <c r="X80" i="13"/>
  <c r="AC11" i="13"/>
  <c r="X11" i="13"/>
  <c r="AC88" i="13"/>
  <c r="X88" i="13"/>
  <c r="AC19" i="13"/>
  <c r="X19" i="13"/>
  <c r="AC95" i="13"/>
  <c r="X95" i="13"/>
  <c r="AC27" i="13"/>
  <c r="X27" i="13"/>
  <c r="AC34" i="13"/>
  <c r="X34" i="13"/>
  <c r="AC41" i="13"/>
  <c r="X41" i="13"/>
  <c r="AC49" i="13"/>
  <c r="X49" i="13"/>
  <c r="AC56" i="13"/>
  <c r="X56" i="13"/>
  <c r="X67" i="13" l="1"/>
  <c r="X86" i="13"/>
  <c r="X99" i="13"/>
  <c r="AC86" i="13"/>
  <c r="AC99" i="13"/>
  <c r="X57" i="13"/>
  <c r="X20" i="13"/>
  <c r="AC57" i="13"/>
  <c r="AC20" i="13"/>
  <c r="X42" i="13"/>
  <c r="X13" i="13"/>
  <c r="AC42" i="13"/>
  <c r="AC13" i="13"/>
  <c r="AC67" i="13"/>
  <c r="W100" i="13" l="1"/>
  <c r="V100" i="13"/>
  <c r="X100" i="13" l="1"/>
  <c r="X3" i="13" s="1"/>
  <c r="AC100" i="13"/>
  <c r="AC3" i="13" s="1"/>
  <c r="AD84" i="13" l="1"/>
  <c r="AE84" i="13" s="1"/>
  <c r="AF84" i="13" s="1"/>
  <c r="AG84" i="13" s="1"/>
  <c r="AD45" i="13"/>
  <c r="AE45" i="13" s="1"/>
  <c r="AF45" i="13" s="1"/>
  <c r="AG45" i="13" s="1"/>
  <c r="AD66" i="13"/>
  <c r="AE66" i="13" s="1"/>
  <c r="AF66" i="13" s="1"/>
  <c r="AG66" i="13" s="1"/>
  <c r="AD98" i="13"/>
  <c r="AE98" i="13" s="1"/>
  <c r="AF98" i="13" s="1"/>
  <c r="AG98" i="13" s="1"/>
  <c r="AD32" i="13"/>
  <c r="AE32" i="13" s="1"/>
  <c r="AF32" i="13" s="1"/>
  <c r="AG32" i="13" s="1"/>
  <c r="AD10" i="13"/>
  <c r="AE10" i="13" s="1"/>
  <c r="AF10" i="13" s="1"/>
  <c r="AG10" i="13" s="1"/>
  <c r="AD91" i="13"/>
  <c r="AE91" i="13" s="1"/>
  <c r="AF91" i="13" s="1"/>
  <c r="AG91" i="13" s="1"/>
  <c r="AD78" i="13"/>
  <c r="AE78" i="13" s="1"/>
  <c r="AF78" i="13" s="1"/>
  <c r="AG78" i="13" s="1"/>
  <c r="AD29" i="13"/>
  <c r="AE29" i="13" s="1"/>
  <c r="AF29" i="13" s="1"/>
  <c r="AG29" i="13" s="1"/>
  <c r="AD50" i="13"/>
  <c r="AE50" i="13" s="1"/>
  <c r="AF50" i="13" s="1"/>
  <c r="AG50" i="13" s="1"/>
  <c r="AD15" i="13"/>
  <c r="AE15" i="13" s="1"/>
  <c r="AF15" i="13" s="1"/>
  <c r="AG15" i="13" s="1"/>
  <c r="AD55" i="13"/>
  <c r="AE55" i="13" s="1"/>
  <c r="AF55" i="13" s="1"/>
  <c r="AG55" i="13" s="1"/>
  <c r="AD40" i="13"/>
  <c r="AE40" i="13" s="1"/>
  <c r="AF40" i="13" s="1"/>
  <c r="AG40" i="13" s="1"/>
  <c r="AD24" i="13"/>
  <c r="AE24" i="13" s="1"/>
  <c r="AF24" i="13" s="1"/>
  <c r="AG24" i="13" s="1"/>
  <c r="AD79" i="13"/>
  <c r="AE79" i="13" s="1"/>
  <c r="AF79" i="13" s="1"/>
  <c r="AG79" i="13" s="1"/>
  <c r="AD39" i="13"/>
  <c r="AE39" i="13" s="1"/>
  <c r="AF39" i="13" s="1"/>
  <c r="AG39" i="13" s="1"/>
  <c r="AD69" i="13"/>
  <c r="AE69" i="13" s="1"/>
  <c r="AF69" i="13" s="1"/>
  <c r="AG69" i="13" s="1"/>
  <c r="AD25" i="13"/>
  <c r="AE25" i="13" s="1"/>
  <c r="AF25" i="13" s="1"/>
  <c r="AG25" i="13" s="1"/>
  <c r="AD36" i="13"/>
  <c r="AE36" i="13" s="1"/>
  <c r="AF36" i="13" s="1"/>
  <c r="AG36" i="13" s="1"/>
  <c r="AD77" i="13"/>
  <c r="AE77" i="13" s="1"/>
  <c r="AF77" i="13" s="1"/>
  <c r="AG77" i="13" s="1"/>
  <c r="AD16" i="13"/>
  <c r="AE16" i="13" s="1"/>
  <c r="AF16" i="13" s="1"/>
  <c r="AG16" i="13" s="1"/>
  <c r="AD31" i="13"/>
  <c r="AE31" i="13" s="1"/>
  <c r="AF31" i="13" s="1"/>
  <c r="AG31" i="13" s="1"/>
  <c r="AD28" i="13"/>
  <c r="AE28" i="13" s="1"/>
  <c r="AF28" i="13" s="1"/>
  <c r="AG28" i="13" s="1"/>
  <c r="AD92" i="13"/>
  <c r="AE92" i="13" s="1"/>
  <c r="AF92" i="13" s="1"/>
  <c r="AG92" i="13" s="1"/>
  <c r="AD27" i="13"/>
  <c r="AE27" i="13" s="1"/>
  <c r="AF27" i="13" s="1"/>
  <c r="AG27" i="13" s="1"/>
  <c r="Y54" i="13"/>
  <c r="Z54" i="13" s="1"/>
  <c r="AA54" i="13" s="1"/>
  <c r="AB54" i="13" s="1"/>
  <c r="AD54" i="13"/>
  <c r="AE54" i="13" s="1"/>
  <c r="AF54" i="13" s="1"/>
  <c r="AG54" i="13" s="1"/>
  <c r="AD53" i="13"/>
  <c r="AE53" i="13" s="1"/>
  <c r="AF53" i="13" s="1"/>
  <c r="AG53" i="13" s="1"/>
  <c r="AD33" i="13"/>
  <c r="AE33" i="13" s="1"/>
  <c r="AF33" i="13" s="1"/>
  <c r="AG33" i="13" s="1"/>
  <c r="AD58" i="13"/>
  <c r="AE58" i="13" s="1"/>
  <c r="AF58" i="13" s="1"/>
  <c r="AG58" i="13" s="1"/>
  <c r="AD12" i="13"/>
  <c r="AE12" i="13" s="1"/>
  <c r="AF12" i="13" s="1"/>
  <c r="AG12" i="13" s="1"/>
  <c r="AD43" i="13"/>
  <c r="AE43" i="13" s="1"/>
  <c r="AF43" i="13" s="1"/>
  <c r="AG43" i="13" s="1"/>
  <c r="AD56" i="13"/>
  <c r="AE56" i="13" s="1"/>
  <c r="AF56" i="13" s="1"/>
  <c r="AG56" i="13" s="1"/>
  <c r="AD38" i="13"/>
  <c r="AE38" i="13" s="1"/>
  <c r="AF38" i="13" s="1"/>
  <c r="AG38" i="13" s="1"/>
  <c r="AD49" i="13"/>
  <c r="AE49" i="13" s="1"/>
  <c r="AF49" i="13" s="1"/>
  <c r="AG49" i="13" s="1"/>
  <c r="Y43" i="13"/>
  <c r="Z43" i="13" s="1"/>
  <c r="AA43" i="13" s="1"/>
  <c r="AB43" i="13" s="1"/>
  <c r="AD68" i="13"/>
  <c r="AE68" i="13" s="1"/>
  <c r="AF68" i="13" s="1"/>
  <c r="AG68" i="13" s="1"/>
  <c r="AD83" i="13"/>
  <c r="AE83" i="13" s="1"/>
  <c r="AF83" i="13" s="1"/>
  <c r="AG83" i="13" s="1"/>
  <c r="AD19" i="13"/>
  <c r="AE19" i="13" s="1"/>
  <c r="AF19" i="13" s="1"/>
  <c r="AG19" i="13" s="1"/>
  <c r="AD63" i="13"/>
  <c r="AE63" i="13" s="1"/>
  <c r="AF63" i="13" s="1"/>
  <c r="AG63" i="13" s="1"/>
  <c r="AD48" i="13"/>
  <c r="AE48" i="13" s="1"/>
  <c r="AF48" i="13" s="1"/>
  <c r="AG48" i="13" s="1"/>
  <c r="AD46" i="13"/>
  <c r="AE46" i="13" s="1"/>
  <c r="AF46" i="13" s="1"/>
  <c r="AG46" i="13" s="1"/>
  <c r="AD89" i="13"/>
  <c r="AE89" i="13" s="1"/>
  <c r="AF89" i="13" s="1"/>
  <c r="AG89" i="13" s="1"/>
  <c r="AD5" i="13"/>
  <c r="AE5" i="13" s="1"/>
  <c r="AF5" i="13" s="1"/>
  <c r="AG5" i="13" s="1"/>
  <c r="Y9" i="13"/>
  <c r="Z9" i="13" s="1"/>
  <c r="AA9" i="13" s="1"/>
  <c r="AB9" i="13" s="1"/>
  <c r="AD18" i="13"/>
  <c r="AE18" i="13" s="1"/>
  <c r="AF18" i="13" s="1"/>
  <c r="AG18" i="13" s="1"/>
  <c r="AD85" i="13"/>
  <c r="AE85" i="13" s="1"/>
  <c r="AF85" i="13" s="1"/>
  <c r="AG85" i="13" s="1"/>
  <c r="AD70" i="13"/>
  <c r="AE70" i="13" s="1"/>
  <c r="AF70" i="13" s="1"/>
  <c r="AG70" i="13" s="1"/>
  <c r="AD8" i="13"/>
  <c r="AE8" i="13" s="1"/>
  <c r="AF8" i="13" s="1"/>
  <c r="AG8" i="13" s="1"/>
  <c r="AD93" i="13"/>
  <c r="AE93" i="13" s="1"/>
  <c r="AF93" i="13" s="1"/>
  <c r="AG93" i="13" s="1"/>
  <c r="AD14" i="13"/>
  <c r="AE14" i="13" s="1"/>
  <c r="AF14" i="13" s="1"/>
  <c r="AG14" i="13" s="1"/>
  <c r="AD76" i="13"/>
  <c r="AE76" i="13" s="1"/>
  <c r="AF76" i="13" s="1"/>
  <c r="AG76" i="13" s="1"/>
  <c r="Y84" i="13"/>
  <c r="Z84" i="13" s="1"/>
  <c r="AA84" i="13" s="1"/>
  <c r="AB84" i="13" s="1"/>
  <c r="Y35" i="13"/>
  <c r="Z35" i="13" s="1"/>
  <c r="AA35" i="13" s="1"/>
  <c r="AB35" i="13" s="1"/>
  <c r="AD94" i="13"/>
  <c r="AE94" i="13" s="1"/>
  <c r="AF94" i="13" s="1"/>
  <c r="AG94" i="13" s="1"/>
  <c r="AD97" i="13"/>
  <c r="AE97" i="13" s="1"/>
  <c r="AF97" i="13" s="1"/>
  <c r="AG97" i="13" s="1"/>
  <c r="AD87" i="13"/>
  <c r="AE87" i="13" s="1"/>
  <c r="AF87" i="13" s="1"/>
  <c r="AG87" i="13" s="1"/>
  <c r="AD62" i="13"/>
  <c r="AE62" i="13" s="1"/>
  <c r="AF62" i="13" s="1"/>
  <c r="AG62" i="13" s="1"/>
  <c r="AD6" i="13"/>
  <c r="AE6" i="13" s="1"/>
  <c r="AF6" i="13" s="1"/>
  <c r="AG6" i="13" s="1"/>
  <c r="AD59" i="13"/>
  <c r="AE59" i="13" s="1"/>
  <c r="AF59" i="13" s="1"/>
  <c r="AG59" i="13" s="1"/>
  <c r="AD95" i="13"/>
  <c r="AE95" i="13" s="1"/>
  <c r="AF95" i="13" s="1"/>
  <c r="AG95" i="13" s="1"/>
  <c r="AD96" i="13"/>
  <c r="AE96" i="13" s="1"/>
  <c r="AF96" i="13" s="1"/>
  <c r="AG96" i="13" s="1"/>
  <c r="AD26" i="13"/>
  <c r="AE26" i="13" s="1"/>
  <c r="AF26" i="13" s="1"/>
  <c r="AG26" i="13" s="1"/>
  <c r="AD64" i="13"/>
  <c r="AE64" i="13" s="1"/>
  <c r="AF64" i="13" s="1"/>
  <c r="AG64" i="13" s="1"/>
  <c r="AD47" i="13"/>
  <c r="AE47" i="13" s="1"/>
  <c r="AF47" i="13" s="1"/>
  <c r="AG47" i="13" s="1"/>
  <c r="AD80" i="13"/>
  <c r="AE80" i="13" s="1"/>
  <c r="AF80" i="13" s="1"/>
  <c r="AG80" i="13" s="1"/>
  <c r="Y26" i="13"/>
  <c r="Z26" i="13" s="1"/>
  <c r="AA26" i="13" s="1"/>
  <c r="AB26" i="13" s="1"/>
  <c r="Y33" i="13"/>
  <c r="Z33" i="13" s="1"/>
  <c r="AA33" i="13" s="1"/>
  <c r="AB33" i="13" s="1"/>
  <c r="Y73" i="13"/>
  <c r="Z73" i="13" s="1"/>
  <c r="AA73" i="13" s="1"/>
  <c r="AB73" i="13" s="1"/>
  <c r="AD60" i="13"/>
  <c r="AE60" i="13" s="1"/>
  <c r="AF60" i="13" s="1"/>
  <c r="AG60" i="13" s="1"/>
  <c r="AD61" i="13"/>
  <c r="AE61" i="13" s="1"/>
  <c r="AF61" i="13" s="1"/>
  <c r="AG61" i="13" s="1"/>
  <c r="AD65" i="13"/>
  <c r="AE65" i="13" s="1"/>
  <c r="AF65" i="13" s="1"/>
  <c r="AG65" i="13" s="1"/>
  <c r="AD11" i="13"/>
  <c r="AE11" i="13" s="1"/>
  <c r="AF11" i="13" s="1"/>
  <c r="AG11" i="13" s="1"/>
  <c r="AD75" i="13"/>
  <c r="AE75" i="13" s="1"/>
  <c r="AF75" i="13" s="1"/>
  <c r="AG75" i="13" s="1"/>
  <c r="AD52" i="13"/>
  <c r="AE52" i="13" s="1"/>
  <c r="AF52" i="13" s="1"/>
  <c r="AG52" i="13" s="1"/>
  <c r="AD88" i="13"/>
  <c r="AE88" i="13" s="1"/>
  <c r="AF88" i="13" s="1"/>
  <c r="AG88" i="13" s="1"/>
  <c r="AD51" i="13"/>
  <c r="AE51" i="13" s="1"/>
  <c r="AF51" i="13" s="1"/>
  <c r="AG51" i="13" s="1"/>
  <c r="AD44" i="13"/>
  <c r="AE44" i="13" s="1"/>
  <c r="AF44" i="13" s="1"/>
  <c r="AG44" i="13" s="1"/>
  <c r="AD17" i="13"/>
  <c r="AE17" i="13" s="1"/>
  <c r="AF17" i="13" s="1"/>
  <c r="AG17" i="13" s="1"/>
  <c r="AD82" i="13"/>
  <c r="AE82" i="13" s="1"/>
  <c r="AF82" i="13" s="1"/>
  <c r="AG82" i="13" s="1"/>
  <c r="AD7" i="13"/>
  <c r="AE7" i="13" s="1"/>
  <c r="AF7" i="13" s="1"/>
  <c r="AG7" i="13" s="1"/>
  <c r="AD72" i="13"/>
  <c r="AE72" i="13" s="1"/>
  <c r="AF72" i="13" s="1"/>
  <c r="AG72" i="13" s="1"/>
  <c r="AD22" i="13"/>
  <c r="AE22" i="13" s="1"/>
  <c r="AF22" i="13" s="1"/>
  <c r="AG22" i="13" s="1"/>
  <c r="AD71" i="13"/>
  <c r="AE71" i="13" s="1"/>
  <c r="AF71" i="13" s="1"/>
  <c r="AG71" i="13" s="1"/>
  <c r="AD73" i="13"/>
  <c r="AE73" i="13" s="1"/>
  <c r="AF73" i="13" s="1"/>
  <c r="AG73" i="13" s="1"/>
  <c r="AD9" i="13"/>
  <c r="AE9" i="13" s="1"/>
  <c r="AF9" i="13" s="1"/>
  <c r="AG9" i="13" s="1"/>
  <c r="AD30" i="13"/>
  <c r="AE30" i="13" s="1"/>
  <c r="AF30" i="13" s="1"/>
  <c r="AG30" i="13" s="1"/>
  <c r="AD21" i="13"/>
  <c r="AE21" i="13" s="1"/>
  <c r="AF21" i="13" s="1"/>
  <c r="AG21" i="13" s="1"/>
  <c r="AD90" i="13"/>
  <c r="AE90" i="13" s="1"/>
  <c r="AF90" i="13" s="1"/>
  <c r="AG90" i="13" s="1"/>
  <c r="AD34" i="13"/>
  <c r="AE34" i="13" s="1"/>
  <c r="AF34" i="13" s="1"/>
  <c r="AG34" i="13" s="1"/>
  <c r="Y70" i="13"/>
  <c r="Z70" i="13" s="1"/>
  <c r="AA70" i="13" s="1"/>
  <c r="AB70" i="13" s="1"/>
  <c r="Y32" i="13"/>
  <c r="Z32" i="13" s="1"/>
  <c r="AA32" i="13" s="1"/>
  <c r="AB32" i="13" s="1"/>
  <c r="Y23" i="13"/>
  <c r="Z23" i="13" s="1"/>
  <c r="AA23" i="13" s="1"/>
  <c r="AB23" i="13" s="1"/>
  <c r="AD35" i="13"/>
  <c r="AE35" i="13" s="1"/>
  <c r="AF35" i="13" s="1"/>
  <c r="AG35" i="13" s="1"/>
  <c r="AD81" i="13"/>
  <c r="AE81" i="13" s="1"/>
  <c r="AF81" i="13" s="1"/>
  <c r="AG81" i="13" s="1"/>
  <c r="AD23" i="13"/>
  <c r="AE23" i="13" s="1"/>
  <c r="AF23" i="13" s="1"/>
  <c r="AG23" i="13" s="1"/>
  <c r="AD41" i="13"/>
  <c r="AE41" i="13" s="1"/>
  <c r="AF41" i="13" s="1"/>
  <c r="AG41" i="13" s="1"/>
  <c r="AD74" i="13"/>
  <c r="AE74" i="13" s="1"/>
  <c r="AF74" i="13" s="1"/>
  <c r="AG74" i="13" s="1"/>
  <c r="AD37" i="13"/>
  <c r="AE37" i="13" s="1"/>
  <c r="AF37" i="13" s="1"/>
  <c r="AG37" i="13" s="1"/>
  <c r="Y59" i="13"/>
  <c r="Z59" i="13" s="1"/>
  <c r="AA59" i="13" s="1"/>
  <c r="AB59" i="13" s="1"/>
  <c r="Y71" i="13"/>
  <c r="Z71" i="13" s="1"/>
  <c r="AA71" i="13" s="1"/>
  <c r="AB71" i="13" s="1"/>
  <c r="Y69" i="13"/>
  <c r="Z69" i="13" s="1"/>
  <c r="AA69" i="13" s="1"/>
  <c r="AB69" i="13" s="1"/>
  <c r="Y17" i="13"/>
  <c r="Z17" i="13" s="1"/>
  <c r="AA17" i="13" s="1"/>
  <c r="AB17" i="13" s="1"/>
  <c r="Y6" i="13"/>
  <c r="Z6" i="13" s="1"/>
  <c r="AA6" i="13" s="1"/>
  <c r="AB6" i="13" s="1"/>
  <c r="Y25" i="13"/>
  <c r="Z25" i="13" s="1"/>
  <c r="AA25" i="13" s="1"/>
  <c r="AB25" i="13" s="1"/>
  <c r="Y8" i="13"/>
  <c r="Z8" i="13" s="1"/>
  <c r="AA8" i="13" s="1"/>
  <c r="AB8" i="13" s="1"/>
  <c r="Y82" i="13"/>
  <c r="Z82" i="13" s="1"/>
  <c r="AA82" i="13" s="1"/>
  <c r="AB82" i="13" s="1"/>
  <c r="Y72" i="13"/>
  <c r="Z72" i="13" s="1"/>
  <c r="AA72" i="13" s="1"/>
  <c r="AB72" i="13" s="1"/>
  <c r="Y55" i="13"/>
  <c r="Z55" i="13" s="1"/>
  <c r="AA55" i="13" s="1"/>
  <c r="AB55" i="13" s="1"/>
  <c r="Y18" i="13"/>
  <c r="Z18" i="13" s="1"/>
  <c r="AA18" i="13" s="1"/>
  <c r="AB18" i="13" s="1"/>
  <c r="Y31" i="13"/>
  <c r="Z31" i="13" s="1"/>
  <c r="AA31" i="13" s="1"/>
  <c r="AB31" i="13" s="1"/>
  <c r="Y52" i="13"/>
  <c r="Z52" i="13" s="1"/>
  <c r="AA52" i="13" s="1"/>
  <c r="AB52" i="13" s="1"/>
  <c r="Y68" i="13"/>
  <c r="Z68" i="13" s="1"/>
  <c r="AA68" i="13" s="1"/>
  <c r="AB68" i="13" s="1"/>
  <c r="Y7" i="13"/>
  <c r="Z7" i="13" s="1"/>
  <c r="AA7" i="13" s="1"/>
  <c r="AB7" i="13" s="1"/>
  <c r="Y63" i="13"/>
  <c r="Z63" i="13" s="1"/>
  <c r="AA63" i="13" s="1"/>
  <c r="AB63" i="13" s="1"/>
  <c r="Y53" i="13"/>
  <c r="Z53" i="13" s="1"/>
  <c r="AA53" i="13" s="1"/>
  <c r="AB53" i="13" s="1"/>
  <c r="Y38" i="13"/>
  <c r="Z38" i="13" s="1"/>
  <c r="AA38" i="13" s="1"/>
  <c r="AB38" i="13" s="1"/>
  <c r="Y92" i="13"/>
  <c r="Z92" i="13" s="1"/>
  <c r="AA92" i="13" s="1"/>
  <c r="AB92" i="13" s="1"/>
  <c r="Y22" i="13"/>
  <c r="Z22" i="13" s="1"/>
  <c r="AA22" i="13" s="1"/>
  <c r="AB22" i="13" s="1"/>
  <c r="Y58" i="13"/>
  <c r="Z58" i="13" s="1"/>
  <c r="AA58" i="13" s="1"/>
  <c r="AB58" i="13" s="1"/>
  <c r="Y44" i="13"/>
  <c r="Z44" i="13" s="1"/>
  <c r="AA44" i="13" s="1"/>
  <c r="AB44" i="13" s="1"/>
  <c r="Y19" i="13"/>
  <c r="Z19" i="13" s="1"/>
  <c r="AA19" i="13" s="1"/>
  <c r="AB19" i="13" s="1"/>
  <c r="Y78" i="13"/>
  <c r="Z78" i="13" s="1"/>
  <c r="AA78" i="13" s="1"/>
  <c r="AB78" i="13" s="1"/>
  <c r="Y94" i="13"/>
  <c r="Z94" i="13" s="1"/>
  <c r="AA94" i="13" s="1"/>
  <c r="AB94" i="13" s="1"/>
  <c r="Y81" i="13"/>
  <c r="Z81" i="13" s="1"/>
  <c r="AA81" i="13" s="1"/>
  <c r="AB81" i="13" s="1"/>
  <c r="Y91" i="13"/>
  <c r="Z91" i="13" s="1"/>
  <c r="AA91" i="13" s="1"/>
  <c r="AB91" i="13" s="1"/>
  <c r="Y90" i="13"/>
  <c r="Z90" i="13" s="1"/>
  <c r="AA90" i="13" s="1"/>
  <c r="AB90" i="13" s="1"/>
  <c r="Y48" i="13"/>
  <c r="Z48" i="13" s="1"/>
  <c r="AA48" i="13" s="1"/>
  <c r="AB48" i="13" s="1"/>
  <c r="Y36" i="13"/>
  <c r="Z36" i="13" s="1"/>
  <c r="AA36" i="13" s="1"/>
  <c r="AB36" i="13" s="1"/>
  <c r="Y85" i="13"/>
  <c r="Z85" i="13" s="1"/>
  <c r="AA85" i="13" s="1"/>
  <c r="AB85" i="13" s="1"/>
  <c r="Y75" i="13"/>
  <c r="Z75" i="13" s="1"/>
  <c r="AA75" i="13" s="1"/>
  <c r="AB75" i="13" s="1"/>
  <c r="Y89" i="13"/>
  <c r="Z89" i="13" s="1"/>
  <c r="AA89" i="13" s="1"/>
  <c r="AB89" i="13" s="1"/>
  <c r="Y56" i="13"/>
  <c r="Z56" i="13" s="1"/>
  <c r="AA56" i="13" s="1"/>
  <c r="AB56" i="13" s="1"/>
  <c r="Y80" i="13"/>
  <c r="Z80" i="13" s="1"/>
  <c r="AA80" i="13" s="1"/>
  <c r="AB80" i="13" s="1"/>
  <c r="Y45" i="13"/>
  <c r="Z45" i="13" s="1"/>
  <c r="AA45" i="13" s="1"/>
  <c r="AB45" i="13" s="1"/>
  <c r="Y65" i="13"/>
  <c r="Z65" i="13" s="1"/>
  <c r="AA65" i="13" s="1"/>
  <c r="AB65" i="13" s="1"/>
  <c r="Y66" i="13"/>
  <c r="Z66" i="13" s="1"/>
  <c r="AA66" i="13" s="1"/>
  <c r="AB66" i="13" s="1"/>
  <c r="Y93" i="13"/>
  <c r="Z93" i="13" s="1"/>
  <c r="AA93" i="13" s="1"/>
  <c r="AB93" i="13" s="1"/>
  <c r="Y14" i="13"/>
  <c r="Z14" i="13" s="1"/>
  <c r="AA14" i="13" s="1"/>
  <c r="AB14" i="13" s="1"/>
  <c r="Y77" i="13"/>
  <c r="Z77" i="13" s="1"/>
  <c r="AA77" i="13" s="1"/>
  <c r="AB77" i="13" s="1"/>
  <c r="Y41" i="13"/>
  <c r="Z41" i="13" s="1"/>
  <c r="AA41" i="13" s="1"/>
  <c r="AB41" i="13" s="1"/>
  <c r="Y5" i="13"/>
  <c r="Z5" i="13" s="1"/>
  <c r="AA5" i="13" s="1"/>
  <c r="AB5" i="13" s="1"/>
  <c r="Y95" i="13"/>
  <c r="Z95" i="13" s="1"/>
  <c r="AA95" i="13" s="1"/>
  <c r="AB95" i="13" s="1"/>
  <c r="Y76" i="13"/>
  <c r="Z76" i="13" s="1"/>
  <c r="AA76" i="13" s="1"/>
  <c r="AB76" i="13" s="1"/>
  <c r="Y47" i="13"/>
  <c r="Z47" i="13" s="1"/>
  <c r="AA47" i="13" s="1"/>
  <c r="AB47" i="13" s="1"/>
  <c r="Y88" i="13"/>
  <c r="Z88" i="13" s="1"/>
  <c r="AA88" i="13" s="1"/>
  <c r="AB88" i="13" s="1"/>
  <c r="Y74" i="13"/>
  <c r="Z74" i="13" s="1"/>
  <c r="AA74" i="13" s="1"/>
  <c r="AB74" i="13" s="1"/>
  <c r="Y24" i="13"/>
  <c r="Z24" i="13" s="1"/>
  <c r="AA24" i="13" s="1"/>
  <c r="AB24" i="13" s="1"/>
  <c r="Y10" i="13"/>
  <c r="Z10" i="13" s="1"/>
  <c r="AA10" i="13" s="1"/>
  <c r="AB10" i="13" s="1"/>
  <c r="Y11" i="13"/>
  <c r="Z11" i="13" s="1"/>
  <c r="AA11" i="13" s="1"/>
  <c r="AB11" i="13" s="1"/>
  <c r="Y64" i="13"/>
  <c r="Z64" i="13" s="1"/>
  <c r="AA64" i="13" s="1"/>
  <c r="AB64" i="13" s="1"/>
  <c r="Y37" i="13"/>
  <c r="Z37" i="13" s="1"/>
  <c r="AA37" i="13" s="1"/>
  <c r="AB37" i="13" s="1"/>
  <c r="Y96" i="13"/>
  <c r="Z96" i="13" s="1"/>
  <c r="AA96" i="13" s="1"/>
  <c r="AB96" i="13" s="1"/>
  <c r="Y97" i="13"/>
  <c r="Z97" i="13" s="1"/>
  <c r="AA97" i="13" s="1"/>
  <c r="AB97" i="13" s="1"/>
  <c r="Y51" i="13"/>
  <c r="Z51" i="13" s="1"/>
  <c r="AA51" i="13" s="1"/>
  <c r="AB51" i="13" s="1"/>
  <c r="Y34" i="13"/>
  <c r="Z34" i="13" s="1"/>
  <c r="AA34" i="13" s="1"/>
  <c r="AB34" i="13" s="1"/>
  <c r="Y49" i="13"/>
  <c r="Z49" i="13" s="1"/>
  <c r="AA49" i="13" s="1"/>
  <c r="AB49" i="13" s="1"/>
  <c r="Y15" i="13"/>
  <c r="Z15" i="13" s="1"/>
  <c r="AA15" i="13" s="1"/>
  <c r="AB15" i="13" s="1"/>
  <c r="Y98" i="13"/>
  <c r="Z98" i="13" s="1"/>
  <c r="AA98" i="13" s="1"/>
  <c r="AB98" i="13" s="1"/>
  <c r="Y83" i="13"/>
  <c r="Z83" i="13" s="1"/>
  <c r="AA83" i="13" s="1"/>
  <c r="AB83" i="13" s="1"/>
  <c r="Y39" i="13"/>
  <c r="Z39" i="13" s="1"/>
  <c r="AA39" i="13" s="1"/>
  <c r="AB39" i="13" s="1"/>
  <c r="Y50" i="13"/>
  <c r="Z50" i="13" s="1"/>
  <c r="AA50" i="13" s="1"/>
  <c r="AB50" i="13" s="1"/>
  <c r="Y30" i="13"/>
  <c r="Z30" i="13" s="1"/>
  <c r="AA30" i="13" s="1"/>
  <c r="AB30" i="13" s="1"/>
  <c r="Y28" i="13"/>
  <c r="Z28" i="13" s="1"/>
  <c r="AA28" i="13" s="1"/>
  <c r="AB28" i="13" s="1"/>
  <c r="Y16" i="13"/>
  <c r="Z16" i="13" s="1"/>
  <c r="AA16" i="13" s="1"/>
  <c r="AB16" i="13" s="1"/>
  <c r="Y79" i="13"/>
  <c r="Z79" i="13" s="1"/>
  <c r="AA79" i="13" s="1"/>
  <c r="AB79" i="13" s="1"/>
  <c r="Y40" i="13"/>
  <c r="Z40" i="13" s="1"/>
  <c r="AA40" i="13" s="1"/>
  <c r="AB40" i="13" s="1"/>
  <c r="Y61" i="13"/>
  <c r="Z61" i="13" s="1"/>
  <c r="AA61" i="13" s="1"/>
  <c r="AB61" i="13" s="1"/>
  <c r="Y46" i="13"/>
  <c r="Z46" i="13" s="1"/>
  <c r="AA46" i="13" s="1"/>
  <c r="AB46" i="13" s="1"/>
  <c r="Y27" i="13"/>
  <c r="Z27" i="13" s="1"/>
  <c r="AA27" i="13" s="1"/>
  <c r="AB27" i="13" s="1"/>
  <c r="Y29" i="13"/>
  <c r="Z29" i="13" s="1"/>
  <c r="AA29" i="13" s="1"/>
  <c r="AB29" i="13" s="1"/>
  <c r="Y60" i="13"/>
  <c r="Z60" i="13" s="1"/>
  <c r="AA60" i="13" s="1"/>
  <c r="AB60" i="13" s="1"/>
  <c r="Y62" i="13"/>
  <c r="Z62" i="13" s="1"/>
  <c r="AA62" i="13" s="1"/>
  <c r="AB62" i="13" s="1"/>
  <c r="Y21" i="13"/>
  <c r="Z21" i="13" s="1"/>
  <c r="AA21" i="13" s="1"/>
  <c r="AB21" i="13" s="1"/>
  <c r="Y87" i="13"/>
  <c r="Z87" i="13" s="1"/>
  <c r="AA87" i="13" s="1"/>
  <c r="AB87" i="13" s="1"/>
  <c r="Y12" i="13"/>
  <c r="Z12" i="13" s="1"/>
  <c r="AA12" i="13" s="1"/>
  <c r="AB12" i="13" s="1"/>
  <c r="AG13" i="13" l="1"/>
  <c r="AG67" i="13"/>
  <c r="AG20" i="13"/>
  <c r="AG57" i="13"/>
  <c r="AG42" i="13"/>
  <c r="AG99" i="13"/>
  <c r="AG86" i="13"/>
  <c r="AB99" i="13"/>
  <c r="AB42" i="13"/>
  <c r="AB86" i="13"/>
  <c r="AB67" i="13"/>
  <c r="AB57" i="13"/>
  <c r="AB13" i="13"/>
  <c r="AB20" i="13"/>
  <c r="Y13" i="13"/>
  <c r="Y42" i="13"/>
  <c r="Y86" i="13"/>
  <c r="AD13" i="13"/>
  <c r="Y67" i="13"/>
  <c r="AD67" i="13"/>
  <c r="Y99" i="13"/>
  <c r="Y57" i="13"/>
  <c r="Y20" i="13"/>
  <c r="AD20" i="13"/>
  <c r="AD57" i="13"/>
  <c r="AD42" i="13"/>
  <c r="AD99" i="13"/>
  <c r="AD86" i="13"/>
  <c r="AD100" i="13" l="1"/>
  <c r="Y100" i="13" l="1"/>
  <c r="AA11" i="7" l="1"/>
  <c r="AA13" i="7" s="1"/>
  <c r="AJ13" i="7" l="1"/>
  <c r="AM111" i="7" l="1"/>
  <c r="Q13" i="7"/>
  <c r="P100" i="11" l="1"/>
  <c r="Q21" i="7"/>
  <c r="Q30" i="7"/>
  <c r="Q39" i="7"/>
  <c r="Q47" i="7"/>
  <c r="Q56" i="7"/>
  <c r="Q64" i="7"/>
  <c r="Q73" i="7"/>
  <c r="Q82" i="7"/>
  <c r="Q90" i="7"/>
  <c r="Q99" i="7"/>
  <c r="Q107" i="7"/>
  <c r="Q17" i="7"/>
  <c r="Q26" i="7"/>
  <c r="Q35" i="7"/>
  <c r="Q43" i="7"/>
  <c r="Q51" i="7"/>
  <c r="Q60" i="7"/>
  <c r="Q69" i="7"/>
  <c r="Q77" i="7"/>
  <c r="Q86" i="7"/>
  <c r="Q94" i="7"/>
  <c r="Q103" i="7"/>
  <c r="Q19" i="7"/>
  <c r="Q32" i="7"/>
  <c r="Q42" i="7"/>
  <c r="Q54" i="7"/>
  <c r="Q65" i="7"/>
  <c r="Q76" i="7"/>
  <c r="Q88" i="7"/>
  <c r="Q100" i="7"/>
  <c r="Q22" i="7"/>
  <c r="Q34" i="7"/>
  <c r="Q45" i="7"/>
  <c r="Q57" i="7"/>
  <c r="Q67" i="7"/>
  <c r="Q80" i="7"/>
  <c r="Q91" i="7"/>
  <c r="Q102" i="7"/>
  <c r="Q25" i="7"/>
  <c r="Q37" i="7"/>
  <c r="Q48" i="7"/>
  <c r="Q59" i="7"/>
  <c r="Q71" i="7"/>
  <c r="Q83" i="7"/>
  <c r="Q93" i="7"/>
  <c r="Q105" i="7"/>
  <c r="Q27" i="7"/>
  <c r="Q38" i="7"/>
  <c r="Q49" i="7"/>
  <c r="Q61" i="7"/>
  <c r="Q72" i="7"/>
  <c r="Q84" i="7"/>
  <c r="Q95" i="7"/>
  <c r="Q106" i="7"/>
  <c r="Q16" i="7"/>
  <c r="Q28" i="7"/>
  <c r="Q40" i="7"/>
  <c r="Q50" i="7"/>
  <c r="Q62" i="7"/>
  <c r="Q74" i="7"/>
  <c r="Q85" i="7"/>
  <c r="Q96" i="7"/>
  <c r="Q108" i="7"/>
  <c r="Q33" i="7"/>
  <c r="Q63" i="7"/>
  <c r="Q92" i="7"/>
  <c r="Q36" i="7"/>
  <c r="Q66" i="7"/>
  <c r="Q98" i="7"/>
  <c r="Q41" i="7"/>
  <c r="Q70" i="7"/>
  <c r="Q101" i="7"/>
  <c r="Q44" i="7"/>
  <c r="Q75" i="7"/>
  <c r="Q104" i="7"/>
  <c r="Q18" i="7"/>
  <c r="Q46" i="7"/>
  <c r="Q79" i="7"/>
  <c r="Q109" i="7"/>
  <c r="Q20" i="7"/>
  <c r="Q52" i="7"/>
  <c r="Q81" i="7"/>
  <c r="Q23" i="7"/>
  <c r="Q55" i="7"/>
  <c r="Q87" i="7"/>
  <c r="Q29" i="7"/>
  <c r="Q58" i="7"/>
  <c r="Q89" i="7"/>
  <c r="F15" i="6"/>
  <c r="Q78" i="7" l="1"/>
  <c r="Q97" i="7"/>
  <c r="Q110" i="7"/>
  <c r="Q31" i="7"/>
  <c r="Q53" i="7"/>
  <c r="Q68" i="7"/>
  <c r="Q24" i="7"/>
  <c r="X109" i="7"/>
  <c r="K98" i="11" s="1"/>
  <c r="T97" i="7"/>
  <c r="T68" i="7"/>
  <c r="T110" i="7"/>
  <c r="T31" i="7"/>
  <c r="T53" i="7"/>
  <c r="T24" i="7"/>
  <c r="T78" i="7"/>
  <c r="Z109" i="7" l="1"/>
  <c r="M98" i="11" s="1"/>
  <c r="Q111" i="7"/>
  <c r="T111" i="7"/>
  <c r="X74" i="7"/>
  <c r="K63" i="11" s="1"/>
  <c r="X103" i="7"/>
  <c r="K92" i="11" s="1"/>
  <c r="X77" i="7"/>
  <c r="K66" i="11" s="1"/>
  <c r="X26" i="7"/>
  <c r="X108" i="7"/>
  <c r="X89" i="7"/>
  <c r="X94" i="7"/>
  <c r="X106" i="7"/>
  <c r="K95" i="11" s="1"/>
  <c r="X63" i="7"/>
  <c r="K52" i="11" s="1"/>
  <c r="X38" i="7"/>
  <c r="K27" i="11" s="1"/>
  <c r="X73" i="7"/>
  <c r="X75" i="7"/>
  <c r="K64" i="11" s="1"/>
  <c r="X55" i="7"/>
  <c r="K44" i="11" s="1"/>
  <c r="X95" i="7"/>
  <c r="X30" i="7"/>
  <c r="K19" i="11" s="1"/>
  <c r="X62" i="7"/>
  <c r="X96" i="7"/>
  <c r="K85" i="11" s="1"/>
  <c r="X105" i="7"/>
  <c r="K94" i="11" s="1"/>
  <c r="X50" i="7"/>
  <c r="X88" i="7"/>
  <c r="X70" i="7"/>
  <c r="K59" i="11" s="1"/>
  <c r="X99" i="7"/>
  <c r="X82" i="7"/>
  <c r="K71" i="11" s="1"/>
  <c r="X41" i="7"/>
  <c r="X93" i="7"/>
  <c r="K82" i="11" s="1"/>
  <c r="X61" i="7"/>
  <c r="X83" i="7"/>
  <c r="X23" i="7"/>
  <c r="K12" i="11" s="1"/>
  <c r="X72" i="7"/>
  <c r="X107" i="7"/>
  <c r="K96" i="11" s="1"/>
  <c r="X87" i="7"/>
  <c r="X33" i="7"/>
  <c r="K22" i="11" s="1"/>
  <c r="X17" i="7"/>
  <c r="X90" i="7"/>
  <c r="X101" i="7"/>
  <c r="X86" i="7"/>
  <c r="X32" i="7"/>
  <c r="K21" i="11" s="1"/>
  <c r="X46" i="7"/>
  <c r="X104" i="7"/>
  <c r="K93" i="11" s="1"/>
  <c r="X45" i="7"/>
  <c r="X98" i="7"/>
  <c r="X79" i="7"/>
  <c r="K68" i="11" s="1"/>
  <c r="X67" i="7"/>
  <c r="X69" i="7"/>
  <c r="K58" i="11" s="1"/>
  <c r="X48" i="7"/>
  <c r="X22" i="7"/>
  <c r="X28" i="7"/>
  <c r="X57" i="7"/>
  <c r="K46" i="11" s="1"/>
  <c r="X92" i="7"/>
  <c r="X65" i="7"/>
  <c r="K54" i="11" s="1"/>
  <c r="X81" i="7"/>
  <c r="K70" i="11" s="1"/>
  <c r="X80" i="7"/>
  <c r="X25" i="7"/>
  <c r="X102" i="7"/>
  <c r="X27" i="7"/>
  <c r="K16" i="11" s="1"/>
  <c r="X71" i="7"/>
  <c r="X16" i="7"/>
  <c r="X36" i="7"/>
  <c r="X35" i="7"/>
  <c r="K24" i="11" s="1"/>
  <c r="X47" i="7"/>
  <c r="K36" i="11" s="1"/>
  <c r="X84" i="7"/>
  <c r="X100" i="7"/>
  <c r="X40" i="7"/>
  <c r="X59" i="7"/>
  <c r="X60" i="7"/>
  <c r="X49" i="7"/>
  <c r="X42" i="7"/>
  <c r="X19" i="7"/>
  <c r="X54" i="7"/>
  <c r="K43" i="11" s="1"/>
  <c r="X43" i="7"/>
  <c r="X34" i="7"/>
  <c r="K23" i="11" s="1"/>
  <c r="X39" i="7"/>
  <c r="X52" i="7"/>
  <c r="X21" i="7"/>
  <c r="Z63" i="7"/>
  <c r="M52" i="11" s="1"/>
  <c r="Z23" i="7"/>
  <c r="M12" i="11" s="1"/>
  <c r="Z30" i="7"/>
  <c r="M19" i="11" s="1"/>
  <c r="Z96" i="7"/>
  <c r="M85" i="11" s="1"/>
  <c r="AB109" i="7"/>
  <c r="O98" i="11" s="1"/>
  <c r="Q98" i="11" s="1"/>
  <c r="X18" i="7"/>
  <c r="K7" i="11" s="1"/>
  <c r="X76" i="7"/>
  <c r="K65" i="11" s="1"/>
  <c r="X66" i="7"/>
  <c r="K55" i="11" s="1"/>
  <c r="X51" i="7"/>
  <c r="K40" i="11" s="1"/>
  <c r="X20" i="7"/>
  <c r="K9" i="11" s="1"/>
  <c r="X29" i="7"/>
  <c r="K18" i="11" s="1"/>
  <c r="X44" i="7"/>
  <c r="K33" i="11" s="1"/>
  <c r="X85" i="7"/>
  <c r="K74" i="11" s="1"/>
  <c r="X37" i="7"/>
  <c r="K26" i="11" s="1"/>
  <c r="X56" i="7"/>
  <c r="K45" i="11" s="1"/>
  <c r="X58" i="7"/>
  <c r="K47" i="11" s="1"/>
  <c r="X91" i="7"/>
  <c r="K80" i="11" s="1"/>
  <c r="X64" i="7"/>
  <c r="K53" i="11" s="1"/>
  <c r="C11" i="6"/>
  <c r="C13" i="6" s="1"/>
  <c r="Z75" i="7" l="1"/>
  <c r="M64" i="11" s="1"/>
  <c r="Z65" i="7"/>
  <c r="M54" i="11" s="1"/>
  <c r="Z70" i="7"/>
  <c r="M59" i="11" s="1"/>
  <c r="Z81" i="7"/>
  <c r="M70" i="11" s="1"/>
  <c r="Z38" i="7"/>
  <c r="M27" i="11" s="1"/>
  <c r="Z106" i="7"/>
  <c r="M95" i="11" s="1"/>
  <c r="Z103" i="7"/>
  <c r="M92" i="11" s="1"/>
  <c r="Z35" i="7"/>
  <c r="M24" i="11" s="1"/>
  <c r="Z77" i="7"/>
  <c r="M66" i="11" s="1"/>
  <c r="Z93" i="7"/>
  <c r="M82" i="11" s="1"/>
  <c r="Z82" i="7"/>
  <c r="M71" i="11" s="1"/>
  <c r="Z33" i="7"/>
  <c r="M22" i="11" s="1"/>
  <c r="Z21" i="7"/>
  <c r="M10" i="11" s="1"/>
  <c r="K10" i="11"/>
  <c r="Z102" i="7"/>
  <c r="M91" i="11" s="1"/>
  <c r="K91" i="11"/>
  <c r="Z25" i="7"/>
  <c r="M14" i="11" s="1"/>
  <c r="K14" i="11"/>
  <c r="Z22" i="7"/>
  <c r="M11" i="11" s="1"/>
  <c r="K11" i="11"/>
  <c r="Z87" i="7"/>
  <c r="M76" i="11" s="1"/>
  <c r="K76" i="11"/>
  <c r="Z83" i="7"/>
  <c r="M72" i="11" s="1"/>
  <c r="K72" i="11"/>
  <c r="Z73" i="7"/>
  <c r="M62" i="11" s="1"/>
  <c r="K62" i="11"/>
  <c r="Z89" i="7"/>
  <c r="M78" i="11" s="1"/>
  <c r="K78" i="11"/>
  <c r="Z42" i="7"/>
  <c r="M31" i="11" s="1"/>
  <c r="K31" i="11"/>
  <c r="Z16" i="7"/>
  <c r="M5" i="11" s="1"/>
  <c r="K5" i="11"/>
  <c r="Z80" i="7"/>
  <c r="M69" i="11" s="1"/>
  <c r="K69" i="11"/>
  <c r="Z28" i="7"/>
  <c r="M17" i="11" s="1"/>
  <c r="K17" i="11"/>
  <c r="Z48" i="7"/>
  <c r="M37" i="11" s="1"/>
  <c r="K37" i="11"/>
  <c r="Z67" i="7"/>
  <c r="M56" i="11" s="1"/>
  <c r="K56" i="11"/>
  <c r="Z99" i="7"/>
  <c r="M88" i="11" s="1"/>
  <c r="K88" i="11"/>
  <c r="Z95" i="7"/>
  <c r="M84" i="11" s="1"/>
  <c r="K84" i="11"/>
  <c r="Z52" i="7"/>
  <c r="M41" i="11" s="1"/>
  <c r="K41" i="11"/>
  <c r="Z84" i="7"/>
  <c r="M73" i="11" s="1"/>
  <c r="K73" i="11"/>
  <c r="Z71" i="7"/>
  <c r="M60" i="11" s="1"/>
  <c r="K60" i="11"/>
  <c r="Z45" i="7"/>
  <c r="M34" i="11" s="1"/>
  <c r="K34" i="11"/>
  <c r="Z17" i="7"/>
  <c r="M6" i="11" s="1"/>
  <c r="K6" i="11"/>
  <c r="Z41" i="7"/>
  <c r="M30" i="11" s="1"/>
  <c r="K30" i="11"/>
  <c r="Z92" i="7"/>
  <c r="M81" i="11" s="1"/>
  <c r="K81" i="11"/>
  <c r="Z86" i="7"/>
  <c r="M75" i="11" s="1"/>
  <c r="K75" i="11"/>
  <c r="Z43" i="7"/>
  <c r="M32" i="11" s="1"/>
  <c r="K32" i="11"/>
  <c r="Z49" i="7"/>
  <c r="M38" i="11" s="1"/>
  <c r="K38" i="11"/>
  <c r="Z40" i="7"/>
  <c r="M29" i="11" s="1"/>
  <c r="K29" i="11"/>
  <c r="Z101" i="7"/>
  <c r="M90" i="11" s="1"/>
  <c r="K90" i="11"/>
  <c r="Z72" i="7"/>
  <c r="M61" i="11" s="1"/>
  <c r="K61" i="11"/>
  <c r="Z39" i="7"/>
  <c r="M28" i="11" s="1"/>
  <c r="K28" i="11"/>
  <c r="Z60" i="7"/>
  <c r="M49" i="11" s="1"/>
  <c r="K49" i="11"/>
  <c r="Z88" i="7"/>
  <c r="M77" i="11" s="1"/>
  <c r="K77" i="11"/>
  <c r="Z62" i="7"/>
  <c r="M51" i="11" s="1"/>
  <c r="K51" i="11"/>
  <c r="Z59" i="7"/>
  <c r="M48" i="11" s="1"/>
  <c r="K48" i="11"/>
  <c r="Z36" i="7"/>
  <c r="M25" i="11" s="1"/>
  <c r="K25" i="11"/>
  <c r="Z46" i="7"/>
  <c r="M35" i="11" s="1"/>
  <c r="K35" i="11"/>
  <c r="Z90" i="7"/>
  <c r="M79" i="11" s="1"/>
  <c r="K79" i="11"/>
  <c r="Z61" i="7"/>
  <c r="M50" i="11" s="1"/>
  <c r="K50" i="11"/>
  <c r="Z108" i="7"/>
  <c r="M97" i="11" s="1"/>
  <c r="K97" i="11"/>
  <c r="Z107" i="7"/>
  <c r="M96" i="11" s="1"/>
  <c r="Z19" i="7"/>
  <c r="M8" i="11" s="1"/>
  <c r="K8" i="11"/>
  <c r="Z100" i="7"/>
  <c r="M89" i="11" s="1"/>
  <c r="K89" i="11"/>
  <c r="Z98" i="7"/>
  <c r="M87" i="11" s="1"/>
  <c r="K87" i="11"/>
  <c r="Z50" i="7"/>
  <c r="M39" i="11" s="1"/>
  <c r="K39" i="11"/>
  <c r="Z94" i="7"/>
  <c r="M83" i="11" s="1"/>
  <c r="K83" i="11"/>
  <c r="Z26" i="7"/>
  <c r="M15" i="11" s="1"/>
  <c r="K15" i="11"/>
  <c r="K20" i="11" s="1"/>
  <c r="Z105" i="7"/>
  <c r="M94" i="11" s="1"/>
  <c r="Z57" i="7"/>
  <c r="M46" i="11" s="1"/>
  <c r="Z74" i="7"/>
  <c r="M63" i="11" s="1"/>
  <c r="Z55" i="7"/>
  <c r="M44" i="11" s="1"/>
  <c r="Z104" i="7"/>
  <c r="M93" i="11" s="1"/>
  <c r="J20" i="11"/>
  <c r="X78" i="7"/>
  <c r="J99" i="11"/>
  <c r="J57" i="11"/>
  <c r="J13" i="11"/>
  <c r="X68" i="7"/>
  <c r="X24" i="7"/>
  <c r="X31" i="7"/>
  <c r="J86" i="11"/>
  <c r="J42" i="11"/>
  <c r="J67" i="11"/>
  <c r="X97" i="7"/>
  <c r="X53" i="7"/>
  <c r="Z32" i="7"/>
  <c r="Z27" i="7"/>
  <c r="M16" i="11" s="1"/>
  <c r="Z34" i="7"/>
  <c r="M23" i="11" s="1"/>
  <c r="Z47" i="7"/>
  <c r="M36" i="11" s="1"/>
  <c r="X110" i="7"/>
  <c r="Z79" i="7"/>
  <c r="Z69" i="7"/>
  <c r="M58" i="11" s="1"/>
  <c r="Z54" i="7"/>
  <c r="Z91" i="7"/>
  <c r="M80" i="11" s="1"/>
  <c r="Z29" i="7"/>
  <c r="M18" i="11" s="1"/>
  <c r="Z18" i="7"/>
  <c r="M7" i="11" s="1"/>
  <c r="Z44" i="7"/>
  <c r="M33" i="11" s="1"/>
  <c r="Z51" i="7"/>
  <c r="M40" i="11" s="1"/>
  <c r="Z66" i="7"/>
  <c r="M55" i="11" s="1"/>
  <c r="Z58" i="7"/>
  <c r="M47" i="11" s="1"/>
  <c r="Z56" i="7"/>
  <c r="M45" i="11" s="1"/>
  <c r="Z37" i="7"/>
  <c r="M26" i="11" s="1"/>
  <c r="Z20" i="7"/>
  <c r="M9" i="11" s="1"/>
  <c r="Z64" i="7"/>
  <c r="M53" i="11" s="1"/>
  <c r="Z76" i="7"/>
  <c r="M65" i="11" s="1"/>
  <c r="Z85" i="7"/>
  <c r="M74" i="11" s="1"/>
  <c r="AN109" i="7"/>
  <c r="AG109" i="7"/>
  <c r="AF109" i="7"/>
  <c r="AE109" i="7"/>
  <c r="AJ109" i="7"/>
  <c r="AO109" i="7" s="1"/>
  <c r="AB70" i="7"/>
  <c r="O59" i="11" s="1"/>
  <c r="Q59" i="11" s="1"/>
  <c r="AB30" i="7"/>
  <c r="O19" i="11" s="1"/>
  <c r="Q19" i="11" s="1"/>
  <c r="AB94" i="7"/>
  <c r="O83" i="11" s="1"/>
  <c r="Q83" i="11" s="1"/>
  <c r="AB83" i="7"/>
  <c r="O72" i="11" s="1"/>
  <c r="Q72" i="11" s="1"/>
  <c r="AB27" i="7"/>
  <c r="O16" i="11" s="1"/>
  <c r="Q16" i="11" s="1"/>
  <c r="AB69" i="7"/>
  <c r="O58" i="11" s="1"/>
  <c r="Q58" i="11" s="1"/>
  <c r="AB42" i="7"/>
  <c r="O31" i="11" s="1"/>
  <c r="Q31" i="11" s="1"/>
  <c r="AB47" i="7"/>
  <c r="O36" i="11" s="1"/>
  <c r="Q36" i="11" s="1"/>
  <c r="AB35" i="7"/>
  <c r="O24" i="11" s="1"/>
  <c r="Q24" i="11" s="1"/>
  <c r="AB90" i="7"/>
  <c r="O79" i="11" s="1"/>
  <c r="Q79" i="11" s="1"/>
  <c r="AB17" i="7"/>
  <c r="O6" i="11" s="1"/>
  <c r="Q6" i="11" s="1"/>
  <c r="AB62" i="7"/>
  <c r="O51" i="11" s="1"/>
  <c r="Q51" i="11" s="1"/>
  <c r="AB106" i="7"/>
  <c r="O95" i="11" s="1"/>
  <c r="Q95" i="11" s="1"/>
  <c r="AB77" i="7"/>
  <c r="O66" i="11" s="1"/>
  <c r="Q66" i="11" s="1"/>
  <c r="AB75" i="7"/>
  <c r="O64" i="11" s="1"/>
  <c r="Q64" i="11" s="1"/>
  <c r="AB81" i="7"/>
  <c r="O70" i="11" s="1"/>
  <c r="Q70" i="11" s="1"/>
  <c r="AB43" i="7"/>
  <c r="O32" i="11" s="1"/>
  <c r="Q32" i="11" s="1"/>
  <c r="AB100" i="7"/>
  <c r="O89" i="11" s="1"/>
  <c r="Q89" i="11" s="1"/>
  <c r="AB71" i="7"/>
  <c r="O60" i="11" s="1"/>
  <c r="Q60" i="11" s="1"/>
  <c r="AB33" i="7"/>
  <c r="O22" i="11" s="1"/>
  <c r="Q22" i="11" s="1"/>
  <c r="AB88" i="7"/>
  <c r="O77" i="11" s="1"/>
  <c r="Q77" i="11" s="1"/>
  <c r="AB107" i="7"/>
  <c r="O96" i="11" s="1"/>
  <c r="Q96" i="11" s="1"/>
  <c r="AB23" i="7"/>
  <c r="O12" i="11" s="1"/>
  <c r="Q12" i="11" s="1"/>
  <c r="AB93" i="7"/>
  <c r="O82" i="11" s="1"/>
  <c r="Q82" i="11" s="1"/>
  <c r="AB41" i="7"/>
  <c r="O30" i="11" s="1"/>
  <c r="Q30" i="11" s="1"/>
  <c r="AB45" i="7"/>
  <c r="O34" i="11" s="1"/>
  <c r="Q34" i="11" s="1"/>
  <c r="AB46" i="7"/>
  <c r="O35" i="11" s="1"/>
  <c r="Q35" i="11" s="1"/>
  <c r="AB63" i="7"/>
  <c r="O52" i="11" s="1"/>
  <c r="Q52" i="11" s="1"/>
  <c r="AB55" i="7"/>
  <c r="O44" i="11" s="1"/>
  <c r="Q44" i="11" s="1"/>
  <c r="AB38" i="7"/>
  <c r="O27" i="11" s="1"/>
  <c r="Q27" i="11" s="1"/>
  <c r="AB25" i="7"/>
  <c r="O14" i="11" s="1"/>
  <c r="Q14" i="11" s="1"/>
  <c r="AB96" i="7"/>
  <c r="O85" i="11" s="1"/>
  <c r="Q85" i="11" s="1"/>
  <c r="AB57" i="7"/>
  <c r="O46" i="11" s="1"/>
  <c r="Q46" i="11" s="1"/>
  <c r="AB28" i="7"/>
  <c r="O17" i="11" s="1"/>
  <c r="Q17" i="11" s="1"/>
  <c r="AB74" i="7"/>
  <c r="O63" i="11" s="1"/>
  <c r="Q63" i="11" s="1"/>
  <c r="AB60" i="7"/>
  <c r="O49" i="11" s="1"/>
  <c r="Q49" i="11" s="1"/>
  <c r="AB98" i="7"/>
  <c r="O87" i="11" s="1"/>
  <c r="Q87" i="11" s="1"/>
  <c r="AB101" i="7"/>
  <c r="O90" i="11" s="1"/>
  <c r="Q90" i="11" s="1"/>
  <c r="AB36" i="7"/>
  <c r="O25" i="11" s="1"/>
  <c r="Q25" i="11" s="1"/>
  <c r="AB108" i="7"/>
  <c r="O97" i="11" s="1"/>
  <c r="Q97" i="11" s="1"/>
  <c r="AB22" i="7"/>
  <c r="O11" i="11" s="1"/>
  <c r="Q11" i="11" s="1"/>
  <c r="AB103" i="7"/>
  <c r="O92" i="11" s="1"/>
  <c r="Q92" i="11" s="1"/>
  <c r="AB50" i="7" l="1"/>
  <c r="O39" i="11" s="1"/>
  <c r="Q39" i="11" s="1"/>
  <c r="AB39" i="7"/>
  <c r="O28" i="11" s="1"/>
  <c r="Q28" i="11" s="1"/>
  <c r="AB16" i="7"/>
  <c r="O5" i="11" s="1"/>
  <c r="Q5" i="11" s="1"/>
  <c r="AB34" i="7"/>
  <c r="O23" i="11" s="1"/>
  <c r="Q23" i="11" s="1"/>
  <c r="AB59" i="7"/>
  <c r="O48" i="11" s="1"/>
  <c r="Q48" i="11" s="1"/>
  <c r="AB61" i="7"/>
  <c r="O50" i="11" s="1"/>
  <c r="Q50" i="11" s="1"/>
  <c r="AB65" i="7"/>
  <c r="O54" i="11" s="1"/>
  <c r="Q54" i="11" s="1"/>
  <c r="AB82" i="7"/>
  <c r="O71" i="11" s="1"/>
  <c r="Q71" i="11" s="1"/>
  <c r="AB52" i="7"/>
  <c r="O41" i="11" s="1"/>
  <c r="Q41" i="11" s="1"/>
  <c r="AB86" i="7"/>
  <c r="O75" i="11" s="1"/>
  <c r="Q75" i="11" s="1"/>
  <c r="AB73" i="7"/>
  <c r="O62" i="11" s="1"/>
  <c r="Q62" i="11" s="1"/>
  <c r="AB84" i="7"/>
  <c r="O73" i="11" s="1"/>
  <c r="Q73" i="11" s="1"/>
  <c r="AB92" i="7"/>
  <c r="O81" i="11" s="1"/>
  <c r="Q81" i="11" s="1"/>
  <c r="AB49" i="7"/>
  <c r="O38" i="11" s="1"/>
  <c r="Q38" i="11" s="1"/>
  <c r="AB48" i="7"/>
  <c r="O37" i="11" s="1"/>
  <c r="Q37" i="11" s="1"/>
  <c r="AB19" i="7"/>
  <c r="O8" i="11" s="1"/>
  <c r="Q8" i="11" s="1"/>
  <c r="AB26" i="7"/>
  <c r="O15" i="11" s="1"/>
  <c r="Q15" i="11" s="1"/>
  <c r="AB105" i="7"/>
  <c r="O94" i="11" s="1"/>
  <c r="Q94" i="11" s="1"/>
  <c r="AB21" i="7"/>
  <c r="O10" i="11" s="1"/>
  <c r="Q10" i="11" s="1"/>
  <c r="AB102" i="7"/>
  <c r="O91" i="11" s="1"/>
  <c r="Q91" i="11" s="1"/>
  <c r="AB40" i="7"/>
  <c r="O29" i="11" s="1"/>
  <c r="Q29" i="11" s="1"/>
  <c r="AB89" i="7"/>
  <c r="O78" i="11" s="1"/>
  <c r="Q78" i="11" s="1"/>
  <c r="AB95" i="7"/>
  <c r="O84" i="11" s="1"/>
  <c r="Q84" i="11" s="1"/>
  <c r="AB104" i="7"/>
  <c r="O93" i="11" s="1"/>
  <c r="Q93" i="11" s="1"/>
  <c r="AB80" i="7"/>
  <c r="O69" i="11" s="1"/>
  <c r="Q69" i="11" s="1"/>
  <c r="AB99" i="7"/>
  <c r="O88" i="11" s="1"/>
  <c r="Q88" i="11" s="1"/>
  <c r="AB72" i="7"/>
  <c r="O61" i="11" s="1"/>
  <c r="Q61" i="11" s="1"/>
  <c r="AB67" i="7"/>
  <c r="O56" i="11" s="1"/>
  <c r="Q56" i="11" s="1"/>
  <c r="AB87" i="7"/>
  <c r="O76" i="11" s="1"/>
  <c r="Q76" i="11" s="1"/>
  <c r="AB79" i="7"/>
  <c r="O68" i="11" s="1"/>
  <c r="Q68" i="11" s="1"/>
  <c r="M68" i="11"/>
  <c r="AB32" i="7"/>
  <c r="O21" i="11" s="1"/>
  <c r="Q21" i="11" s="1"/>
  <c r="M21" i="11"/>
  <c r="AB54" i="7"/>
  <c r="O43" i="11" s="1"/>
  <c r="Q43" i="11" s="1"/>
  <c r="M43" i="11"/>
  <c r="Z110" i="7"/>
  <c r="X111" i="7"/>
  <c r="Z68" i="7"/>
  <c r="Z31" i="7"/>
  <c r="Z24" i="7"/>
  <c r="K42" i="11"/>
  <c r="K13" i="11"/>
  <c r="K57" i="11"/>
  <c r="J100" i="11"/>
  <c r="M99" i="11"/>
  <c r="K99" i="11"/>
  <c r="Z53" i="7"/>
  <c r="K67" i="11"/>
  <c r="Z97" i="7"/>
  <c r="K86" i="11"/>
  <c r="Z78" i="7"/>
  <c r="AF22" i="7"/>
  <c r="AJ22" i="7"/>
  <c r="AO22" i="7" s="1"/>
  <c r="AN22" i="7"/>
  <c r="AG22" i="7"/>
  <c r="AE22" i="7"/>
  <c r="AJ98" i="7"/>
  <c r="AF98" i="7"/>
  <c r="AN98" i="7"/>
  <c r="AE98" i="7"/>
  <c r="AG98" i="7"/>
  <c r="AJ60" i="7"/>
  <c r="AO60" i="7" s="1"/>
  <c r="AG60" i="7"/>
  <c r="AE60" i="7"/>
  <c r="AF60" i="7"/>
  <c r="AN60" i="7"/>
  <c r="AN28" i="7"/>
  <c r="AG28" i="7"/>
  <c r="AE28" i="7"/>
  <c r="AJ28" i="7"/>
  <c r="AO28" i="7" s="1"/>
  <c r="AF28" i="7"/>
  <c r="AN86" i="7"/>
  <c r="AG86" i="7"/>
  <c r="AF86" i="7"/>
  <c r="AJ86" i="7"/>
  <c r="AO86" i="7" s="1"/>
  <c r="AE86" i="7"/>
  <c r="AJ102" i="7"/>
  <c r="AO102" i="7" s="1"/>
  <c r="AJ92" i="7"/>
  <c r="AO92" i="7" s="1"/>
  <c r="AG92" i="7"/>
  <c r="AE92" i="7"/>
  <c r="AF92" i="7"/>
  <c r="AN92" i="7"/>
  <c r="AJ57" i="7"/>
  <c r="AO57" i="7" s="1"/>
  <c r="AF57" i="7"/>
  <c r="AN57" i="7"/>
  <c r="AG57" i="7"/>
  <c r="AE57" i="7"/>
  <c r="AJ96" i="7"/>
  <c r="AO96" i="7" s="1"/>
  <c r="AG96" i="7"/>
  <c r="AF96" i="7"/>
  <c r="AE96" i="7"/>
  <c r="AN96" i="7"/>
  <c r="AG48" i="7"/>
  <c r="AN103" i="7"/>
  <c r="AG103" i="7"/>
  <c r="AF103" i="7"/>
  <c r="AJ103" i="7"/>
  <c r="AO103" i="7" s="1"/>
  <c r="AE103" i="7"/>
  <c r="AJ108" i="7"/>
  <c r="AO108" i="7" s="1"/>
  <c r="AF108" i="7"/>
  <c r="AN108" i="7"/>
  <c r="AE108" i="7"/>
  <c r="AG108" i="7"/>
  <c r="AN36" i="7"/>
  <c r="AJ36" i="7"/>
  <c r="AO36" i="7" s="1"/>
  <c r="AG36" i="7"/>
  <c r="AE36" i="7"/>
  <c r="AF36" i="7"/>
  <c r="AF101" i="7"/>
  <c r="AN101" i="7"/>
  <c r="AG101" i="7"/>
  <c r="AJ101" i="7"/>
  <c r="AO101" i="7" s="1"/>
  <c r="AE101" i="7"/>
  <c r="AG104" i="7"/>
  <c r="AF104" i="7"/>
  <c r="AN104" i="7"/>
  <c r="AE104" i="7"/>
  <c r="AJ104" i="7"/>
  <c r="AO104" i="7" s="1"/>
  <c r="AN74" i="7"/>
  <c r="AJ74" i="7"/>
  <c r="AO74" i="7" s="1"/>
  <c r="AG74" i="7"/>
  <c r="AF74" i="7"/>
  <c r="AE74" i="7"/>
  <c r="AE99" i="7"/>
  <c r="AN25" i="7"/>
  <c r="AG25" i="7"/>
  <c r="AF25" i="7"/>
  <c r="AJ25" i="7"/>
  <c r="AE25" i="7"/>
  <c r="AF55" i="7"/>
  <c r="AJ55" i="7"/>
  <c r="AO55" i="7" s="1"/>
  <c r="AE55" i="7"/>
  <c r="AN55" i="7"/>
  <c r="AG55" i="7"/>
  <c r="AF46" i="7"/>
  <c r="AJ46" i="7"/>
  <c r="AO46" i="7" s="1"/>
  <c r="AN46" i="7"/>
  <c r="AG46" i="7"/>
  <c r="AE46" i="7"/>
  <c r="AN40" i="7"/>
  <c r="AG40" i="7"/>
  <c r="AF40" i="7"/>
  <c r="AE40" i="7"/>
  <c r="AJ40" i="7"/>
  <c r="AO40" i="7" s="1"/>
  <c r="AJ41" i="7"/>
  <c r="AO41" i="7" s="1"/>
  <c r="AG41" i="7"/>
  <c r="AE41" i="7"/>
  <c r="AF41" i="7"/>
  <c r="AN41" i="7"/>
  <c r="AJ23" i="7"/>
  <c r="AO23" i="7" s="1"/>
  <c r="AE23" i="7"/>
  <c r="AN23" i="7"/>
  <c r="AF23" i="7"/>
  <c r="AG23" i="7"/>
  <c r="AJ77" i="7"/>
  <c r="AO77" i="7" s="1"/>
  <c r="AE77" i="7"/>
  <c r="AN77" i="7"/>
  <c r="AG77" i="7"/>
  <c r="AF77" i="7"/>
  <c r="AJ90" i="7"/>
  <c r="AO90" i="7" s="1"/>
  <c r="AG90" i="7"/>
  <c r="AF90" i="7"/>
  <c r="AE90" i="7"/>
  <c r="AN90" i="7"/>
  <c r="AF39" i="7"/>
  <c r="AN39" i="7"/>
  <c r="AE39" i="7"/>
  <c r="AJ39" i="7"/>
  <c r="AO39" i="7" s="1"/>
  <c r="AG39" i="7"/>
  <c r="AN30" i="7"/>
  <c r="AG30" i="7"/>
  <c r="AE30" i="7"/>
  <c r="AJ30" i="7"/>
  <c r="AO30" i="7" s="1"/>
  <c r="AF30" i="7"/>
  <c r="AF50" i="7"/>
  <c r="AN50" i="7"/>
  <c r="AJ50" i="7"/>
  <c r="AO50" i="7" s="1"/>
  <c r="AG50" i="7"/>
  <c r="AE50" i="7"/>
  <c r="AB85" i="7"/>
  <c r="AB64" i="7"/>
  <c r="AB37" i="7"/>
  <c r="AG38" i="7"/>
  <c r="AE38" i="7"/>
  <c r="AN38" i="7"/>
  <c r="AF38" i="7"/>
  <c r="AJ38" i="7"/>
  <c r="AO38" i="7" s="1"/>
  <c r="AN45" i="7"/>
  <c r="AG45" i="7"/>
  <c r="AE45" i="7"/>
  <c r="AJ45" i="7"/>
  <c r="AO45" i="7" s="1"/>
  <c r="AF45" i="7"/>
  <c r="AJ107" i="7"/>
  <c r="AO107" i="7" s="1"/>
  <c r="AF107" i="7"/>
  <c r="AG107" i="7"/>
  <c r="AN107" i="7"/>
  <c r="AE107" i="7"/>
  <c r="AG88" i="7"/>
  <c r="AE88" i="7"/>
  <c r="AN88" i="7"/>
  <c r="AJ88" i="7"/>
  <c r="AO88" i="7" s="1"/>
  <c r="AF88" i="7"/>
  <c r="AJ67" i="7"/>
  <c r="AO67" i="7" s="1"/>
  <c r="AJ100" i="7"/>
  <c r="AO100" i="7" s="1"/>
  <c r="AF100" i="7"/>
  <c r="AG100" i="7"/>
  <c r="AN100" i="7"/>
  <c r="AE100" i="7"/>
  <c r="AN34" i="7"/>
  <c r="AJ34" i="7"/>
  <c r="AO34" i="7" s="1"/>
  <c r="AG34" i="7"/>
  <c r="AE34" i="7"/>
  <c r="AF34" i="7"/>
  <c r="AJ81" i="7"/>
  <c r="AO81" i="7" s="1"/>
  <c r="AF81" i="7"/>
  <c r="AN81" i="7"/>
  <c r="AG81" i="7"/>
  <c r="AE81" i="7"/>
  <c r="AN16" i="7"/>
  <c r="AG16" i="7"/>
  <c r="AF16" i="7"/>
  <c r="AJ16" i="7"/>
  <c r="AE16" i="7"/>
  <c r="AJ47" i="7"/>
  <c r="AO47" i="7" s="1"/>
  <c r="AF47" i="7"/>
  <c r="AN47" i="7"/>
  <c r="AG47" i="7"/>
  <c r="AE47" i="7"/>
  <c r="AN59" i="7"/>
  <c r="AG87" i="7"/>
  <c r="AF87" i="7"/>
  <c r="AN87" i="7"/>
  <c r="AE87" i="7"/>
  <c r="AJ87" i="7"/>
  <c r="AO87" i="7" s="1"/>
  <c r="AB20" i="7"/>
  <c r="AB66" i="7"/>
  <c r="AJ63" i="7"/>
  <c r="AO63" i="7" s="1"/>
  <c r="AF63" i="7"/>
  <c r="AN63" i="7"/>
  <c r="AG63" i="7"/>
  <c r="AE63" i="7"/>
  <c r="AG49" i="7"/>
  <c r="AF49" i="7"/>
  <c r="AN49" i="7"/>
  <c r="AJ49" i="7"/>
  <c r="AO49" i="7" s="1"/>
  <c r="AE49" i="7"/>
  <c r="AJ93" i="7"/>
  <c r="AO93" i="7" s="1"/>
  <c r="AG93" i="7"/>
  <c r="AE93" i="7"/>
  <c r="AF93" i="7"/>
  <c r="AN93" i="7"/>
  <c r="AJ52" i="7"/>
  <c r="AO52" i="7" s="1"/>
  <c r="AE52" i="7"/>
  <c r="AN52" i="7"/>
  <c r="AG52" i="7"/>
  <c r="AF52" i="7"/>
  <c r="AE33" i="7"/>
  <c r="AJ33" i="7"/>
  <c r="AO33" i="7" s="1"/>
  <c r="AF33" i="7"/>
  <c r="AN33" i="7"/>
  <c r="AG33" i="7"/>
  <c r="AN105" i="7"/>
  <c r="AJ105" i="7"/>
  <c r="AO105" i="7" s="1"/>
  <c r="AG105" i="7"/>
  <c r="AF105" i="7"/>
  <c r="AE105" i="7"/>
  <c r="AE61" i="7"/>
  <c r="AJ61" i="7"/>
  <c r="AO61" i="7" s="1"/>
  <c r="AF61" i="7"/>
  <c r="AN61" i="7"/>
  <c r="AG61" i="7"/>
  <c r="AJ106" i="7"/>
  <c r="AO106" i="7" s="1"/>
  <c r="AF106" i="7"/>
  <c r="AN106" i="7"/>
  <c r="AG106" i="7"/>
  <c r="AE106" i="7"/>
  <c r="AN17" i="7"/>
  <c r="AG17" i="7"/>
  <c r="AJ17" i="7"/>
  <c r="AO17" i="7" s="1"/>
  <c r="AE17" i="7"/>
  <c r="AF17" i="7"/>
  <c r="AF84" i="7"/>
  <c r="AN84" i="7"/>
  <c r="AG84" i="7"/>
  <c r="AJ84" i="7"/>
  <c r="AO84" i="7" s="1"/>
  <c r="AE84" i="7"/>
  <c r="AN42" i="7"/>
  <c r="AJ42" i="7"/>
  <c r="AO42" i="7" s="1"/>
  <c r="AG42" i="7"/>
  <c r="AE42" i="7"/>
  <c r="AF42" i="7"/>
  <c r="AN27" i="7"/>
  <c r="AJ27" i="7"/>
  <c r="AO27" i="7" s="1"/>
  <c r="AG27" i="7"/>
  <c r="AE27" i="7"/>
  <c r="AF27" i="7"/>
  <c r="AN94" i="7"/>
  <c r="AG94" i="7"/>
  <c r="AF94" i="7"/>
  <c r="AE94" i="7"/>
  <c r="AJ94" i="7"/>
  <c r="AO94" i="7" s="1"/>
  <c r="AB58" i="7"/>
  <c r="AB51" i="7"/>
  <c r="AB44" i="7"/>
  <c r="AB18" i="7"/>
  <c r="O7" i="11" s="1"/>
  <c r="Q7" i="11" s="1"/>
  <c r="AB91" i="7"/>
  <c r="AJ32" i="7"/>
  <c r="AF32" i="7"/>
  <c r="AG32" i="7"/>
  <c r="AN32" i="7"/>
  <c r="AE32" i="7"/>
  <c r="AG79" i="7"/>
  <c r="AF19" i="7"/>
  <c r="AF73" i="7"/>
  <c r="AJ73" i="7"/>
  <c r="AO73" i="7" s="1"/>
  <c r="AE73" i="7"/>
  <c r="AN73" i="7"/>
  <c r="AG73" i="7"/>
  <c r="AN71" i="7"/>
  <c r="AG71" i="7"/>
  <c r="AE71" i="7"/>
  <c r="AJ71" i="7"/>
  <c r="AO71" i="7" s="1"/>
  <c r="AF71" i="7"/>
  <c r="AN43" i="7"/>
  <c r="AJ43" i="7"/>
  <c r="AO43" i="7" s="1"/>
  <c r="AG43" i="7"/>
  <c r="AE43" i="7"/>
  <c r="AF43" i="7"/>
  <c r="AG75" i="7"/>
  <c r="AF75" i="7"/>
  <c r="AN75" i="7"/>
  <c r="AE75" i="7"/>
  <c r="AJ75" i="7"/>
  <c r="AO75" i="7" s="1"/>
  <c r="AE62" i="7"/>
  <c r="AN62" i="7"/>
  <c r="AG62" i="7"/>
  <c r="AJ62" i="7"/>
  <c r="AO62" i="7" s="1"/>
  <c r="AF62" i="7"/>
  <c r="AJ35" i="7"/>
  <c r="AO35" i="7" s="1"/>
  <c r="AE35" i="7"/>
  <c r="AG35" i="7"/>
  <c r="AF35" i="7"/>
  <c r="AN35" i="7"/>
  <c r="AE69" i="7"/>
  <c r="AN69" i="7"/>
  <c r="AJ69" i="7"/>
  <c r="AG69" i="7"/>
  <c r="AF69" i="7"/>
  <c r="AJ83" i="7"/>
  <c r="AO83" i="7" s="1"/>
  <c r="AF83" i="7"/>
  <c r="AN83" i="7"/>
  <c r="AG83" i="7"/>
  <c r="AE83" i="7"/>
  <c r="AN70" i="7"/>
  <c r="AJ70" i="7"/>
  <c r="AO70" i="7" s="1"/>
  <c r="AG70" i="7"/>
  <c r="AE70" i="7"/>
  <c r="AF70" i="7"/>
  <c r="AB76" i="7"/>
  <c r="AB56" i="7"/>
  <c r="AB29" i="7"/>
  <c r="M20" i="11"/>
  <c r="AH23" i="7"/>
  <c r="S12" i="11" s="1"/>
  <c r="AH17" i="7"/>
  <c r="S6" i="11" s="1"/>
  <c r="AH86" i="7"/>
  <c r="S75" i="11" s="1"/>
  <c r="AH61" i="7"/>
  <c r="S50" i="11" s="1"/>
  <c r="AH105" i="7"/>
  <c r="S94" i="11" s="1"/>
  <c r="AH100" i="7"/>
  <c r="S89" i="11" s="1"/>
  <c r="AH28" i="7"/>
  <c r="S17" i="11" s="1"/>
  <c r="AH60" i="7"/>
  <c r="S49" i="11" s="1"/>
  <c r="AH34" i="7"/>
  <c r="S23" i="11" s="1"/>
  <c r="AH35" i="7"/>
  <c r="S24" i="11" s="1"/>
  <c r="AH103" i="7"/>
  <c r="S92" i="11" s="1"/>
  <c r="AH90" i="7"/>
  <c r="S79" i="11" s="1"/>
  <c r="AH52" i="7"/>
  <c r="S41" i="11" s="1"/>
  <c r="AH94" i="7"/>
  <c r="S83" i="11" s="1"/>
  <c r="AH79" i="7"/>
  <c r="S68" i="11" s="1"/>
  <c r="AH88" i="7"/>
  <c r="S77" i="11" s="1"/>
  <c r="AH83" i="7"/>
  <c r="S72" i="11" s="1"/>
  <c r="AH36" i="7"/>
  <c r="S25" i="11" s="1"/>
  <c r="AH63" i="7"/>
  <c r="S52" i="11" s="1"/>
  <c r="AH92" i="7"/>
  <c r="S81" i="11" s="1"/>
  <c r="AH73" i="7"/>
  <c r="S62" i="11" s="1"/>
  <c r="AH104" i="7"/>
  <c r="S93" i="11" s="1"/>
  <c r="AH77" i="7"/>
  <c r="S66" i="11" s="1"/>
  <c r="AH74" i="7"/>
  <c r="S63" i="11" s="1"/>
  <c r="AH49" i="7"/>
  <c r="S38" i="11" s="1"/>
  <c r="AH75" i="7"/>
  <c r="S64" i="11" s="1"/>
  <c r="AH46" i="7"/>
  <c r="S35" i="11" s="1"/>
  <c r="AH55" i="7"/>
  <c r="S44" i="11" s="1"/>
  <c r="AH59" i="7"/>
  <c r="S48" i="11" s="1"/>
  <c r="AH22" i="7"/>
  <c r="S11" i="11" s="1"/>
  <c r="AH48" i="7"/>
  <c r="S37" i="11" s="1"/>
  <c r="AH98" i="7"/>
  <c r="S87" i="11" s="1"/>
  <c r="AH50" i="7"/>
  <c r="S39" i="11" s="1"/>
  <c r="AH38" i="7"/>
  <c r="S27" i="11" s="1"/>
  <c r="AH106" i="7"/>
  <c r="S95" i="11" s="1"/>
  <c r="AH27" i="7"/>
  <c r="S16" i="11" s="1"/>
  <c r="AH71" i="7"/>
  <c r="S60" i="11" s="1"/>
  <c r="AH32" i="7"/>
  <c r="S21" i="11" s="1"/>
  <c r="AH62" i="7"/>
  <c r="S51" i="11" s="1"/>
  <c r="AH47" i="7"/>
  <c r="S36" i="11" s="1"/>
  <c r="AH69" i="7"/>
  <c r="S58" i="11" s="1"/>
  <c r="AH30" i="7"/>
  <c r="S19" i="11" s="1"/>
  <c r="AH39" i="7"/>
  <c r="S28" i="11" s="1"/>
  <c r="AH107" i="7"/>
  <c r="S96" i="11" s="1"/>
  <c r="AH70" i="7"/>
  <c r="S59" i="11" s="1"/>
  <c r="AH42" i="7"/>
  <c r="S31" i="11" s="1"/>
  <c r="AH40" i="7"/>
  <c r="S29" i="11" s="1"/>
  <c r="AH108" i="7"/>
  <c r="S97" i="11" s="1"/>
  <c r="AH84" i="7"/>
  <c r="S73" i="11" s="1"/>
  <c r="AH41" i="7"/>
  <c r="S30" i="11" s="1"/>
  <c r="AH81" i="7"/>
  <c r="S70" i="11" s="1"/>
  <c r="AH87" i="7"/>
  <c r="S76" i="11" s="1"/>
  <c r="AH96" i="7"/>
  <c r="S85" i="11" s="1"/>
  <c r="AH25" i="7"/>
  <c r="S14" i="11" s="1"/>
  <c r="AH93" i="7"/>
  <c r="S82" i="11" s="1"/>
  <c r="AH57" i="7"/>
  <c r="S46" i="11" s="1"/>
  <c r="AH33" i="7"/>
  <c r="S22" i="11" s="1"/>
  <c r="AH101" i="7"/>
  <c r="S90" i="11" s="1"/>
  <c r="AH45" i="7"/>
  <c r="S34" i="11" s="1"/>
  <c r="AH43" i="7"/>
  <c r="S32" i="11" s="1"/>
  <c r="AH16" i="7"/>
  <c r="S5" i="11" s="1"/>
  <c r="AE65" i="7" l="1"/>
  <c r="AN48" i="7"/>
  <c r="AE48" i="7"/>
  <c r="AF48" i="7"/>
  <c r="AJ48" i="7"/>
  <c r="AO48" i="7" s="1"/>
  <c r="AG95" i="7"/>
  <c r="AF79" i="7"/>
  <c r="AN79" i="7"/>
  <c r="AE79" i="7"/>
  <c r="AJ79" i="7"/>
  <c r="AF59" i="7"/>
  <c r="AJ80" i="7"/>
  <c r="AO80" i="7" s="1"/>
  <c r="AF99" i="7"/>
  <c r="AH95" i="7"/>
  <c r="S84" i="11" s="1"/>
  <c r="AF26" i="7"/>
  <c r="AF80" i="7"/>
  <c r="AJ99" i="7"/>
  <c r="AO99" i="7" s="1"/>
  <c r="AH102" i="7"/>
  <c r="S91" i="11" s="1"/>
  <c r="AG26" i="7"/>
  <c r="AN80" i="7"/>
  <c r="AH99" i="7"/>
  <c r="S88" i="11" s="1"/>
  <c r="AN26" i="7"/>
  <c r="AF65" i="7"/>
  <c r="AE80" i="7"/>
  <c r="AJ95" i="7"/>
  <c r="AO95" i="7" s="1"/>
  <c r="AF102" i="7"/>
  <c r="AE26" i="7"/>
  <c r="AJ65" i="7"/>
  <c r="AO65" i="7" s="1"/>
  <c r="AE59" i="7"/>
  <c r="AG80" i="7"/>
  <c r="AE95" i="7"/>
  <c r="AG102" i="7"/>
  <c r="AH65" i="7"/>
  <c r="S54" i="11" s="1"/>
  <c r="AJ26" i="7"/>
  <c r="AO26" i="7" s="1"/>
  <c r="AG65" i="7"/>
  <c r="AG59" i="7"/>
  <c r="AG99" i="7"/>
  <c r="AN95" i="7"/>
  <c r="AN102" i="7"/>
  <c r="AB110" i="7"/>
  <c r="AH26" i="7"/>
  <c r="S15" i="11" s="1"/>
  <c r="AH80" i="7"/>
  <c r="S69" i="11" s="1"/>
  <c r="AN65" i="7"/>
  <c r="AJ59" i="7"/>
  <c r="AO59" i="7" s="1"/>
  <c r="AN99" i="7"/>
  <c r="AF95" i="7"/>
  <c r="AE102" i="7"/>
  <c r="AH89" i="7"/>
  <c r="S78" i="11" s="1"/>
  <c r="AH82" i="7"/>
  <c r="S71" i="11" s="1"/>
  <c r="AF21" i="7"/>
  <c r="AF54" i="7"/>
  <c r="AH54" i="7"/>
  <c r="S43" i="11" s="1"/>
  <c r="AH21" i="7"/>
  <c r="S10" i="11" s="1"/>
  <c r="AF82" i="7"/>
  <c r="AJ89" i="7"/>
  <c r="AO89" i="7" s="1"/>
  <c r="AJ82" i="7"/>
  <c r="AO82" i="7" s="1"/>
  <c r="AE89" i="7"/>
  <c r="AE54" i="7"/>
  <c r="AG82" i="7"/>
  <c r="AG21" i="7"/>
  <c r="AF89" i="7"/>
  <c r="AJ54" i="7"/>
  <c r="AJ21" i="7"/>
  <c r="AO21" i="7" s="1"/>
  <c r="AG54" i="7"/>
  <c r="AN54" i="7"/>
  <c r="AE82" i="7"/>
  <c r="AG89" i="7"/>
  <c r="AN82" i="7"/>
  <c r="AE21" i="7"/>
  <c r="AN89" i="7"/>
  <c r="AN21" i="7"/>
  <c r="AN19" i="7"/>
  <c r="AH19" i="7"/>
  <c r="S8" i="11" s="1"/>
  <c r="AE19" i="7"/>
  <c r="AG19" i="7"/>
  <c r="AJ19" i="7"/>
  <c r="AO19" i="7" s="1"/>
  <c r="AE67" i="7"/>
  <c r="AN67" i="7"/>
  <c r="AF72" i="7"/>
  <c r="AH72" i="7"/>
  <c r="S61" i="11" s="1"/>
  <c r="AF67" i="7"/>
  <c r="AJ72" i="7"/>
  <c r="AO72" i="7" s="1"/>
  <c r="AG67" i="7"/>
  <c r="AE72" i="7"/>
  <c r="AH67" i="7"/>
  <c r="S56" i="11" s="1"/>
  <c r="AG72" i="7"/>
  <c r="AN72" i="7"/>
  <c r="AH58" i="7"/>
  <c r="S47" i="11" s="1"/>
  <c r="O47" i="11"/>
  <c r="Q47" i="11" s="1"/>
  <c r="AH66" i="7"/>
  <c r="S55" i="11" s="1"/>
  <c r="O55" i="11"/>
  <c r="Q55" i="11" s="1"/>
  <c r="AH20" i="7"/>
  <c r="S9" i="11" s="1"/>
  <c r="O9" i="11"/>
  <c r="Q9" i="11" s="1"/>
  <c r="AH56" i="7"/>
  <c r="S45" i="11" s="1"/>
  <c r="O45" i="11"/>
  <c r="Q45" i="11" s="1"/>
  <c r="AH51" i="7"/>
  <c r="S40" i="11" s="1"/>
  <c r="O40" i="11"/>
  <c r="Q40" i="11" s="1"/>
  <c r="AH76" i="7"/>
  <c r="S65" i="11" s="1"/>
  <c r="O65" i="11"/>
  <c r="Q65" i="11" s="1"/>
  <c r="AH44" i="7"/>
  <c r="S33" i="11" s="1"/>
  <c r="O33" i="11"/>
  <c r="Q33" i="11" s="1"/>
  <c r="AH85" i="7"/>
  <c r="S74" i="11" s="1"/>
  <c r="O74" i="11"/>
  <c r="Q74" i="11" s="1"/>
  <c r="AH29" i="7"/>
  <c r="O18" i="11"/>
  <c r="Q18" i="11" s="1"/>
  <c r="AH91" i="7"/>
  <c r="S80" i="11" s="1"/>
  <c r="O80" i="11"/>
  <c r="Q80" i="11" s="1"/>
  <c r="AH37" i="7"/>
  <c r="S26" i="11" s="1"/>
  <c r="O26" i="11"/>
  <c r="Q26" i="11" s="1"/>
  <c r="AH64" i="7"/>
  <c r="S53" i="11" s="1"/>
  <c r="O53" i="11"/>
  <c r="Q53" i="11" s="1"/>
  <c r="M13" i="11"/>
  <c r="AB24" i="7"/>
  <c r="AH18" i="7"/>
  <c r="S7" i="11" s="1"/>
  <c r="AB97" i="7"/>
  <c r="M86" i="11"/>
  <c r="M42" i="11"/>
  <c r="K100" i="11"/>
  <c r="AB68" i="7"/>
  <c r="AB78" i="7"/>
  <c r="AE110" i="7"/>
  <c r="AN110" i="7"/>
  <c r="AB31" i="7"/>
  <c r="M57" i="11"/>
  <c r="AJ110" i="7"/>
  <c r="M67" i="11"/>
  <c r="AB53" i="7"/>
  <c r="AO32" i="7"/>
  <c r="AO69" i="7"/>
  <c r="AO79" i="7"/>
  <c r="AO16" i="7"/>
  <c r="AO25" i="7"/>
  <c r="AO54" i="7"/>
  <c r="AO98" i="7"/>
  <c r="AO110" i="7" s="1"/>
  <c r="Q99" i="11"/>
  <c r="O99" i="11"/>
  <c r="AE44" i="7"/>
  <c r="AN44" i="7"/>
  <c r="AJ44" i="7"/>
  <c r="AO44" i="7" s="1"/>
  <c r="AG44" i="7"/>
  <c r="AF44" i="7"/>
  <c r="AN58" i="7"/>
  <c r="AE58" i="7"/>
  <c r="AJ58" i="7"/>
  <c r="AO58" i="7" s="1"/>
  <c r="AG58" i="7"/>
  <c r="AF58" i="7"/>
  <c r="AF66" i="7"/>
  <c r="AG66" i="7"/>
  <c r="AN66" i="7"/>
  <c r="AE66" i="7"/>
  <c r="AJ66" i="7"/>
  <c r="AO66" i="7" s="1"/>
  <c r="AE37" i="7"/>
  <c r="AJ37" i="7"/>
  <c r="AO37" i="7" s="1"/>
  <c r="AF37" i="7"/>
  <c r="AG37" i="7"/>
  <c r="AN37" i="7"/>
  <c r="AF64" i="7"/>
  <c r="AJ64" i="7"/>
  <c r="AO64" i="7" s="1"/>
  <c r="AE64" i="7"/>
  <c r="AN64" i="7"/>
  <c r="AG64" i="7"/>
  <c r="AG56" i="7"/>
  <c r="AN56" i="7"/>
  <c r="AE56" i="7"/>
  <c r="AJ56" i="7"/>
  <c r="AO56" i="7" s="1"/>
  <c r="AF56" i="7"/>
  <c r="AE91" i="7"/>
  <c r="AN91" i="7"/>
  <c r="AG91" i="7"/>
  <c r="AF91" i="7"/>
  <c r="AJ91" i="7"/>
  <c r="AO91" i="7" s="1"/>
  <c r="AG20" i="7"/>
  <c r="AE20" i="7"/>
  <c r="AN20" i="7"/>
  <c r="AF20" i="7"/>
  <c r="AJ20" i="7"/>
  <c r="AO20" i="7" s="1"/>
  <c r="AG29" i="7"/>
  <c r="AN29" i="7"/>
  <c r="AN31" i="7" s="1"/>
  <c r="AJ29" i="7"/>
  <c r="AO29" i="7" s="1"/>
  <c r="AF29" i="7"/>
  <c r="AF31" i="7" s="1"/>
  <c r="AE29" i="7"/>
  <c r="AJ76" i="7"/>
  <c r="AO76" i="7" s="1"/>
  <c r="AN76" i="7"/>
  <c r="AN78" i="7" s="1"/>
  <c r="AG76" i="7"/>
  <c r="AE76" i="7"/>
  <c r="AF76" i="7"/>
  <c r="AF78" i="7" s="1"/>
  <c r="AF18" i="7"/>
  <c r="AN18" i="7"/>
  <c r="AG18" i="7"/>
  <c r="AJ18" i="7"/>
  <c r="AO18" i="7" s="1"/>
  <c r="AE18" i="7"/>
  <c r="AN51" i="7"/>
  <c r="AG51" i="7"/>
  <c r="AJ51" i="7"/>
  <c r="AO51" i="7" s="1"/>
  <c r="AF51" i="7"/>
  <c r="AE51" i="7"/>
  <c r="AJ85" i="7"/>
  <c r="AO85" i="7" s="1"/>
  <c r="AN85" i="7"/>
  <c r="AG85" i="7"/>
  <c r="AE85" i="7"/>
  <c r="AF85" i="7"/>
  <c r="AN97" i="7" l="1"/>
  <c r="AH53" i="7"/>
  <c r="S42" i="11"/>
  <c r="AN24" i="7"/>
  <c r="AF110" i="7"/>
  <c r="S67" i="11"/>
  <c r="S86" i="11"/>
  <c r="AE31" i="7"/>
  <c r="S13" i="11"/>
  <c r="AH78" i="7"/>
  <c r="AH31" i="7"/>
  <c r="S18" i="11"/>
  <c r="S20" i="11" s="1"/>
  <c r="S57" i="11"/>
  <c r="AE78" i="7"/>
  <c r="AH97" i="7"/>
  <c r="AH68" i="7"/>
  <c r="AH24" i="7"/>
  <c r="AE97" i="7"/>
  <c r="AF68" i="7"/>
  <c r="AN68" i="7"/>
  <c r="AF24" i="7"/>
  <c r="AF97" i="7"/>
  <c r="AN53" i="7"/>
  <c r="AE24" i="7"/>
  <c r="AF53" i="7"/>
  <c r="AE68" i="7"/>
  <c r="AE53" i="7"/>
  <c r="Q86" i="11"/>
  <c r="Q20" i="11"/>
  <c r="AO68" i="7"/>
  <c r="AO97" i="7"/>
  <c r="AJ53" i="7"/>
  <c r="O13" i="11"/>
  <c r="AO24" i="7"/>
  <c r="AO78" i="7"/>
  <c r="AO53" i="7"/>
  <c r="Q13" i="11"/>
  <c r="AJ68" i="7"/>
  <c r="AJ31" i="7"/>
  <c r="AJ24" i="7"/>
  <c r="O57" i="11"/>
  <c r="AJ97" i="7"/>
  <c r="Q57" i="11"/>
  <c r="O42" i="11"/>
  <c r="O67" i="11"/>
  <c r="Q42" i="11"/>
  <c r="Q67" i="11"/>
  <c r="AO31" i="7"/>
  <c r="AJ78" i="7"/>
  <c r="O86" i="11"/>
  <c r="O20" i="11"/>
  <c r="I99" i="11" l="1"/>
  <c r="AG100" i="13"/>
  <c r="AB100" i="13"/>
  <c r="Z111" i="7" l="1"/>
  <c r="I100" i="11"/>
  <c r="AH109" i="7"/>
  <c r="AH110" i="7" l="1"/>
  <c r="S98" i="11"/>
  <c r="S99" i="11" s="1"/>
  <c r="AB111" i="7"/>
  <c r="M100" i="11"/>
  <c r="AN111" i="7" l="1"/>
  <c r="AJ111" i="7"/>
  <c r="AF111" i="7"/>
  <c r="AG111" i="7"/>
  <c r="AE111" i="7"/>
  <c r="O100" i="11"/>
  <c r="S100" i="11" l="1"/>
  <c r="AH111" i="7"/>
  <c r="AO111" i="7"/>
  <c r="Q10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Tawatchai Ruangrot</author>
  </authors>
  <commentList>
    <comment ref="I1" authorId="0" shapeId="0" xr:uid="{30B7C689-205D-446A-A942-FF5F9A323117}">
      <text>
        <r>
          <rPr>
            <sz val="18"/>
            <color theme="1"/>
            <rFont val="Calibri"/>
            <family val="2"/>
            <scheme val="minor"/>
          </rPr>
          <t>1</t>
        </r>
        <r>
          <rPr>
            <sz val="10"/>
            <color theme="1"/>
            <rFont val="Calibri"/>
            <family val="2"/>
            <scheme val="minor"/>
          </rPr>
          <t>. เขตสามารถปรับค่าคะแนน Stepในแต่ละช่วงได้
1.1 หากไม่ต้องการปรับให้เติมหมายเลข 1 ลง ในcell I1 (เบื้องต้นเป็นหมายเลข1 อยู่แล้ว)
1.2 หากต้องการปรับให้ใส่หมายเลข 2 ในcell I1 เสร็จแล้วใส่ค่าคะแนนที่ต้องการปรับในแต่ละช่วงลงใน cell L2-L12</t>
        </r>
      </text>
    </comment>
    <comment ref="H15" authorId="0" shapeId="0" xr:uid="{B0E0B559-9442-404F-A198-9A8C0A0B0B3D}">
      <text>
        <r>
          <rPr>
            <sz val="18"/>
            <color theme="1"/>
            <rFont val="Calibri"/>
            <family val="2"/>
            <scheme val="minor"/>
          </rPr>
          <t>2</t>
        </r>
        <r>
          <rPr>
            <sz val="16"/>
            <color theme="1"/>
            <rFont val="Calibri"/>
            <family val="2"/>
            <scheme val="minor"/>
          </rPr>
          <t>.</t>
        </r>
        <r>
          <rPr>
            <sz val="10"/>
            <color theme="1"/>
            <rFont val="Calibri"/>
            <family val="2"/>
            <scheme val="minor"/>
          </rPr>
          <t xml:space="preserve"> เขตสามารถปรับค่าKในแต่ละรพ.ได้ 
(ถ้าเขตปรับค่าKจะใช้ค่าตามที่เขตปรับ ถ้าเขตไม่ปรับค่าK จะใช้ค่าK ตามเกณฑ์กลาง)</t>
        </r>
      </text>
    </comment>
    <comment ref="AA15" authorId="0" shapeId="0" xr:uid="{70F99EF6-F6D1-4306-A100-7FC7B1D09BB5}">
      <text>
        <r>
          <rPr>
            <sz val="16"/>
            <color indexed="81"/>
            <rFont val="Tahoma"/>
            <family val="2"/>
          </rPr>
          <t>3.</t>
        </r>
        <r>
          <rPr>
            <sz val="10"/>
            <color indexed="81"/>
            <rFont val="Tahoma"/>
            <family val="2"/>
          </rPr>
          <t xml:space="preserve"> เขตนำร่องสามารถปรับเกลี่ยเงินเพิ่มเติมตามเกณฑ์ โดยผลการปรับเกลี่ยเงินเติมเมื่อรวมกับเงินOP/PP/IP แล้ว (คอลัมภ์[19]) จะต้องได้ไม่น้อยกว่าหรือเท่ากับ 90% ของยอดประกันปี65 หากปรับเกลี่ยได้ตรงตามเงื่อนไขคอลัมภ์ [24] จะมีข้อความ "ผ่าน" ***หากเขตไม่ต้องการปรับเกลี่ยให้ copyเงินเติมที่แต่ละCUPได้รับตามเกณฑ์กลางในคอลัมภ์[18]ของsheet2 มาวางได้ </t>
        </r>
        <r>
          <rPr>
            <b/>
            <sz val="10"/>
            <color indexed="81"/>
            <rFont val="Tahoma"/>
            <family val="2"/>
          </rPr>
          <t>(ซึ่งในเบื้องต้นได้วางไว้ให้แล้ว)</t>
        </r>
      </text>
    </comment>
    <comment ref="AI15" authorId="0" shapeId="0" xr:uid="{CF8015B2-35DE-444A-A59A-3CEDF558DF1F}">
      <text>
        <r>
          <rPr>
            <b/>
            <sz val="18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Tahoma"/>
            <family val="2"/>
          </rPr>
          <t>เขตปรับเกลี่ยเงินระดับเขต
ให้กับ CUP ภายใต้วงเงินของเขต</t>
        </r>
      </text>
    </comment>
  </commentList>
</comments>
</file>

<file path=xl/sharedStrings.xml><?xml version="1.0" encoding="utf-8"?>
<sst xmlns="http://schemas.openxmlformats.org/spreadsheetml/2006/main" count="3218" uniqueCount="427">
  <si>
    <t>โปรดอ่านก่อนดำเนินการปรับเกลี่ย</t>
  </si>
  <si>
    <t>1. ไฟล์ปรับเกลี่ยประกอบด้วย 6 worksheet ให้เขตปรับเกลี่ยเฉพาะ sheet4 กับ sheet5 เท่านั้น รายละเอียดแต่ละ worksheet มีดังนี้</t>
  </si>
  <si>
    <t>sheet2. จัดสรรหลัง SK คือ ประมาณการรายรับ OP+PP+IP ที่คำนวณตามหลักเกณฑ์เฉพาะของ สป.สธ. ที่มีการกันเงินตามหลักเกณฑ์สป.สธ./จัดสรรตาม Step ladder และถ่วงน้ำหนักค่าK/ปรับลดค่าแรงรายCUP/และเติมเงินตามเกณฑ์ฯ</t>
  </si>
  <si>
    <t>sheet4. เขตปรับKและเกลี่ยเงินเพิ่ม คือ sheet ที่ให้เขตปรับเกลี่ย ประกอบด้วย</t>
  </si>
  <si>
    <r>
      <t>sheet5.ปรับเกลี่ย PP Non UC คือ sheet ที่ให้เขตปรับเกลี่ยเงิน PP Non UC ภายใต้วงเงินของแต่ละจังหวัดในคอลัมภ์ G ให้กับ CUP ทุกสังกัดลงในคอลัมภ์H</t>
    </r>
    <r>
      <rPr>
        <sz val="11"/>
        <color rgb="FFFF0000"/>
        <rFont val="Calibri"/>
        <family val="2"/>
        <scheme val="minor"/>
      </rPr>
      <t xml:space="preserve"> และให้ Print ผลการปรับเกลี่ยในหน้านี้ ในการส่งหนังสือแจ้งผลการจัดสรรเงินที่เขตปรับเกลี่ย อย่างเป็นทางการ</t>
    </r>
  </si>
  <si>
    <t>sheet6 Print ผลการปรับเกลี่ย ใช้สำหรับPrint ผลการปรับเกลี่ยเงิน OP/PP/IP และเงินเติมฯ ในการส่งหนังสือแจ้งผลการจัดสรรเงินที่เขตปรับเกลี่ย อย่างเป็นทางการ</t>
  </si>
  <si>
    <t>2. การส่งผลการปรับเกลี่ยให้ส่งด้วย ไฟล์นี้เท่านั้น เพื่อใช้ในการตรวจสอบความถูกต้องในการโอนเงินต่อไป</t>
  </si>
  <si>
    <t>3. ข้อมูลที่เขตจะบันทึกผลการปรับเกลี่ยในไฟล์นี้ ขอให้เป็นตัวเลขและทศนิยมไม่เกิน 2 ตำแหน่งเท่านั้น</t>
  </si>
  <si>
    <t>4. หลังปรับเกลี่ยเรียบร้อยแล้วให้เขตแจ้งหนังสืออย่างเป็นทางการและ Print ผลการปรับเกลี่ยใน sheet5 และsheet6 ส่งมาด้วย</t>
  </si>
  <si>
    <t>PURCHASEPROVINCE</t>
  </si>
  <si>
    <t>HOSPMAIN</t>
  </si>
  <si>
    <t>HOSPNAME</t>
  </si>
  <si>
    <t>HOSPTYPE</t>
  </si>
  <si>
    <t>ประมาณการเงิน IP นอกเขต</t>
  </si>
  <si>
    <t>ปรับลดค่าแรง</t>
  </si>
  <si>
    <t>ค่า K</t>
  </si>
  <si>
    <t>สำหรับ OP Refer ข้ามจังหวัด</t>
  </si>
  <si>
    <t>สำหรับ OP Refer ในจังหวัด/OP AE ในจังหวัด</t>
  </si>
  <si>
    <t>01</t>
  </si>
  <si>
    <t>0010</t>
  </si>
  <si>
    <t>02</t>
  </si>
  <si>
    <t>03</t>
  </si>
  <si>
    <t>04</t>
  </si>
  <si>
    <t>05</t>
  </si>
  <si>
    <t>06</t>
  </si>
  <si>
    <t>07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</si>
  <si>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</si>
  <si>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</si>
  <si>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</si>
  <si>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</si>
  <si>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</si>
  <si>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</si>
  <si>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</si>
  <si>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</si>
  <si>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</si>
  <si>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</si>
  <si>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</si>
  <si>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</si>
  <si>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</si>
  <si>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</si>
  <si>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</si>
  <si>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</si>
  <si>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</si>
  <si>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</si>
  <si>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</si>
  <si>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</si>
  <si>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</si>
  <si>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</si>
  <si>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</si>
  <si>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</si>
  <si>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</si>
  <si>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</si>
  <si>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</si>
  <si>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</si>
  <si>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</si>
  <si>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</si>
  <si>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</si>
  <si>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</si>
  <si>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</si>
  <si>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</si>
  <si>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</si>
  <si>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</si>
  <si>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</si>
  <si>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</si>
  <si>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</si>
  <si>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</si>
  <si>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</si>
  <si>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</si>
  <si>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</si>
  <si>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</si>
  <si>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</si>
  <si>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</si>
  <si>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</si>
  <si>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</si>
  <si>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</si>
  <si>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</si>
  <si>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</si>
  <si>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</si>
  <si>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</si>
  <si>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</si>
  <si>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</si>
  <si>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</si>
  <si>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</si>
  <si>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</si>
  <si>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</si>
  <si>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</si>
  <si>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</si>
  <si>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</si>
  <si>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</si>
  <si>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</si>
  <si>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</si>
  <si>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</si>
  <si>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</si>
  <si>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</si>
  <si>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</si>
  <si>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</si>
  <si>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</si>
  <si>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</si>
  <si>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</si>
  <si>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</si>
  <si>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</si>
  <si>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</si>
  <si>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</si>
  <si>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</si>
  <si>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</si>
  <si>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</si>
  <si>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</si>
  <si>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</si>
  <si>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</si>
  <si>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</si>
  <si>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</si>
  <si>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</si>
  <si>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</si>
  <si>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</si>
  <si>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</si>
  <si>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</si>
  <si>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</si>
  <si>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</si>
  <si>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</si>
  <si>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</si>
  <si>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</si>
  <si>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</si>
  <si>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</si>
  <si>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</si>
  <si>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</si>
  <si>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</si>
  <si>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</si>
  <si>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</si>
  <si>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</si>
  <si>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</si>
  <si>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</si>
  <si>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</si>
  <si>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</si>
  <si>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</si>
  <si>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</si>
  <si>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</si>
  <si>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</si>
  <si>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</si>
  <si>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</si>
  <si>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</si>
  <si>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</si>
  <si>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</si>
  <si>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</si>
  <si>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</si>
  <si>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</si>
  <si>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</si>
  <si>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</si>
  <si>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</si>
  <si>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</si>
  <si>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</si>
  <si>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</si>
  <si>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</si>
  <si>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</si>
  <si>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</si>
  <si>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</si>
  <si>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</si>
  <si>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</si>
  <si>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</si>
  <si>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</si>
  <si>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</si>
  <si>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</si>
  <si>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</si>
  <si>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</si>
  <si>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</si>
  <si>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</si>
  <si>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</si>
  <si>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</si>
  <si>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</si>
  <si>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</si>
  <si>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</si>
  <si>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</si>
  <si>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</si>
  <si>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</si>
  <si>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</si>
  <si>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</si>
  <si>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</si>
  <si>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</si>
  <si>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</si>
  <si>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</si>
  <si>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</si>
  <si>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</si>
  <si>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</si>
  <si>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</si>
  <si>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</si>
  <si>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</si>
  <si>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</si>
  <si>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</si>
  <si>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</si>
  <si>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</si>
  <si>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</si>
  <si>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</si>
  <si>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</si>
  <si>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</si>
  <si>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</si>
  <si>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</si>
  <si>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</si>
  <si>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</si>
  <si>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</si>
  <si>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</si>
  <si>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</si>
  <si>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</si>
  <si>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</si>
  <si>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</si>
  <si>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</si>
  <si>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</si>
  <si>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</si>
  <si>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</si>
  <si>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</si>
  <si>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</si>
  <si>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</si>
  <si>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</si>
  <si>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</si>
  <si>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</si>
  <si>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</si>
  <si>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</si>
  <si>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</si>
  <si>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</si>
  <si>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09</t>
  </si>
  <si>
    <t>10</t>
  </si>
  <si>
    <t>11</t>
  </si>
  <si>
    <t>12</t>
  </si>
  <si>
    <t>เขต</t>
  </si>
  <si>
    <t>[1]</t>
  </si>
  <si>
    <t>[2]</t>
  </si>
  <si>
    <t>[3]</t>
  </si>
  <si>
    <t>[4]</t>
  </si>
  <si>
    <t>[5]</t>
  </si>
  <si>
    <t>[6]</t>
  </si>
  <si>
    <t>[9]</t>
  </si>
  <si>
    <t>ปชก. UC</t>
  </si>
  <si>
    <t>อัตราจ่าย OP</t>
  </si>
  <si>
    <t>อัตราจ่าย P&amp;P Basic services</t>
  </si>
  <si>
    <t>ประมาณการ adjrw IP บริการคนในเขต</t>
  </si>
  <si>
    <t>ประมาณการ adjrw IP บริการคนนอกเขต</t>
  </si>
  <si>
    <t>ประมาณการ adjrw IP NBป่วย/นน.&lt;1,500g</t>
  </si>
  <si>
    <t>[7]</t>
  </si>
  <si>
    <t>[8]=[1]*[2]</t>
  </si>
  <si>
    <t>[9]=[1]*[3]</t>
  </si>
  <si>
    <t>[16]</t>
  </si>
  <si>
    <t>[18]</t>
  </si>
  <si>
    <t>ปชก UC</t>
  </si>
  <si>
    <t>อัตราจ่าย OP Step ladder</t>
  </si>
  <si>
    <t>อัตราจ่าย PP Step ladder</t>
  </si>
  <si>
    <t>ประมาณการอัตราจ่ายIPในเขตหลังปรับค่า K</t>
  </si>
  <si>
    <t>OP Step ladder</t>
  </si>
  <si>
    <t>P&amp;P  Step ladder</t>
  </si>
  <si>
    <t>ประมาณการเงิน IPในเขต ปรับค่าk</t>
  </si>
  <si>
    <t>รวมประมาณการรายรับก่อนปรับลดค่าแรง</t>
  </si>
  <si>
    <t>รวมประมาณการรายรับหลังปรับลดค่าแรง</t>
  </si>
  <si>
    <t>ผลการจัดสรร Step ladder และถ่วงน้ำหนักค่าK ตามเกณฑ์กลางประเทศ</t>
  </si>
  <si>
    <t>เงินระดับเขตเพื่อปรับเกลี่ย</t>
  </si>
  <si>
    <t>รายการ</t>
  </si>
  <si>
    <t>จำนวนเงิน</t>
  </si>
  <si>
    <t>เงินระดับเขต</t>
  </si>
  <si>
    <t>PP Step ladder</t>
  </si>
  <si>
    <t>ประมาณการ IP ในเขตปรับค่าK</t>
  </si>
  <si>
    <t>ประมาณการ IP นอกเขต</t>
  </si>
  <si>
    <t>รวมประมาณการก่อนปรับลดค่าแรง</t>
  </si>
  <si>
    <t>รวมประมาณการหลังปรับลดค่าแรง</t>
  </si>
  <si>
    <t>รวมประมาณการหลังปรับลดค่าแรงรวมเงินเติมฯ</t>
  </si>
  <si>
    <t>รวม</t>
  </si>
  <si>
    <t>ลำดับ</t>
  </si>
  <si>
    <t>จังหวัด</t>
  </si>
  <si>
    <t>บึงกาฬ Total</t>
  </si>
  <si>
    <t>หนองบัวลำภู Total</t>
  </si>
  <si>
    <t>อุดรธานี Total</t>
  </si>
  <si>
    <t>เลย Total</t>
  </si>
  <si>
    <t>หนองคาย Total</t>
  </si>
  <si>
    <t>สกลนคร Total</t>
  </si>
  <si>
    <t>นครพนม Total</t>
  </si>
  <si>
    <t>Grand Total</t>
  </si>
  <si>
    <t>ปรับค่า K</t>
  </si>
  <si>
    <t>ค่า K กลาง</t>
  </si>
  <si>
    <t>เขตปรับค่าK (ถ้ามี)</t>
  </si>
  <si>
    <t>ตรวจสอบผลการปรับเกลี่ย</t>
  </si>
  <si>
    <t>กันเงิน Virtual account ตามประกาศฯ (ถ้ามี) เงินกันนี้จะถูกนำไปหักจากรายรับ OP (ห้ามกันมากกว่ารายรับOP)</t>
  </si>
  <si>
    <t>ประมาณการเงินหลังหัก Virtual account</t>
  </si>
  <si>
    <t>เขตปรับเกลี่ยแล้ว</t>
  </si>
  <si>
    <t>คงเหลือเงินที่ยังไม่ปรับเกลี่ย</t>
  </si>
  <si>
    <t>[24]</t>
  </si>
  <si>
    <t>ผลการตรวจสอบปรับเกลี่ย</t>
  </si>
  <si>
    <t>เขตปรับเกลี่ยเงินระดับเขต</t>
  </si>
  <si>
    <t>รวมประมาณการรายรับหลังปรับลดค่าแรง รวมปรับเกลี่ยเงินกันระดับเขต</t>
  </si>
  <si>
    <t>รวมเงินกัน Virtual account</t>
  </si>
  <si>
    <t>ประมาณการ rate หลังเขตปรับค่าK</t>
  </si>
  <si>
    <t>เขตปรับเกลี่ยเงินเติมตามเกณฑ์ สป.สธ.</t>
  </si>
  <si>
    <r>
      <t>รวมประมาณการรายรับ</t>
    </r>
    <r>
      <rPr>
        <sz val="10"/>
        <color theme="1"/>
        <rFont val="Calibri"/>
        <family val="2"/>
        <scheme val="minor"/>
      </rPr>
      <t>หลัง</t>
    </r>
    <r>
      <rPr>
        <sz val="10"/>
        <color theme="1"/>
        <rFont val="Calibri"/>
        <family val="2"/>
        <charset val="222"/>
        <scheme val="minor"/>
      </rPr>
      <t>ปรับลดค่าแรง รวมเงินเติมฯ</t>
    </r>
  </si>
  <si>
    <t>0012</t>
  </si>
  <si>
    <t>0013</t>
  </si>
  <si>
    <t>0016</t>
  </si>
  <si>
    <t>11924</t>
  </si>
  <si>
    <t>รพ.วีระพลการแพทย์</t>
  </si>
  <si>
    <t>11499</t>
  </si>
  <si>
    <t>รพ.กองบิน 23</t>
  </si>
  <si>
    <t>11501</t>
  </si>
  <si>
    <t>รพ.ค่ายประจักษ์ศิลปาคม</t>
  </si>
  <si>
    <t>12418</t>
  </si>
  <si>
    <t>หน่วยบริการประจำเทศบาลนครอุดรธานี</t>
  </si>
  <si>
    <t>11502</t>
  </si>
  <si>
    <t>รพ.ค่ายศรีสองรัก</t>
  </si>
  <si>
    <t>14558</t>
  </si>
  <si>
    <t>รพ.พิสัยเวช</t>
  </si>
  <si>
    <t>11505</t>
  </si>
  <si>
    <t>รพ.ค่ายกฤษณ์สีวะรา</t>
  </si>
  <si>
    <t>11506</t>
  </si>
  <si>
    <t>รพ.ค่ายพระยอดเมืองขวาง</t>
  </si>
  <si>
    <t>วงเงิน PP Non UC ระดับจังหวัด</t>
  </si>
  <si>
    <t>เขตสรรเงิน PP Non UC ให้ CUP</t>
  </si>
  <si>
    <t>[4]=[1]+…+[3]</t>
  </si>
  <si>
    <t>[6]=[4]-[5]</t>
  </si>
  <si>
    <t>[8]=[6]+[7]</t>
  </si>
  <si>
    <t>[10]=[8]-[9]</t>
  </si>
  <si>
    <t>[11]</t>
  </si>
  <si>
    <t>[12]</t>
  </si>
  <si>
    <t>ประมาณการเงิน IP รวม</t>
  </si>
  <si>
    <t>รวมประมาณการรายรับหลังปรับลดค่าแรง รวมเงินเติมฯ</t>
  </si>
  <si>
    <t>เงินกัน Virtual account (ถ้ามี)</t>
  </si>
  <si>
    <t>รวมประมาณการรายรับหลังหัก Virtual account</t>
  </si>
  <si>
    <t>sheet1. จัดสรรก่อน SK คือ ประมาณการรายรับ OP+PP+IP ก่อนปรับลดค่าแรง</t>
  </si>
  <si>
    <t>รหัส</t>
  </si>
  <si>
    <t>ชื่อหน่วยบริการ</t>
  </si>
  <si>
    <t>ค่า K Final (ใช้ประมวลผลจ่ายปี65)</t>
  </si>
  <si>
    <t>เงินเติมตามเกณฑ์ สป.สธ.</t>
  </si>
  <si>
    <t>ค่าคะแนน</t>
  </si>
  <si>
    <t>REGION</t>
  </si>
  <si>
    <t>PRO_NAME</t>
  </si>
  <si>
    <t>Group Hmain ปรับ CMU รวมกับแม่ข่าย</t>
  </si>
  <si>
    <t>OP Diff Cap</t>
  </si>
  <si>
    <t>POP UC OP Group รวม CMU</t>
  </si>
  <si>
    <t>ผลรวมประชากรแต่ละช่วง</t>
  </si>
  <si>
    <t>Sum Point Step OP/PP</t>
  </si>
  <si>
    <t>อัตราจ่าย OP Step Group CMU รวมแม่ข่าย</t>
  </si>
  <si>
    <t>อัตราจ่าย OP Step ใช้จัดสรร</t>
  </si>
  <si>
    <t>เงิน OP หลังกันเงิน และปรับด้วย Step ladder +diff cap ทอนวงเงิน ใช้จัดสรร Final</t>
  </si>
  <si>
    <t>อัตราจ่าย P&amp;P Step Group CMU รวมแม่ข่าย</t>
  </si>
  <si>
    <t>อัตราจ่าย P&amp;P Step ใช้จัดสรร</t>
  </si>
  <si>
    <t>P&amp;P หลังกันเงิน และปรับด้วย Step ladder+diff cap ทอนวงเงิน ใช้จัดสรร Final</t>
  </si>
  <si>
    <t>1-5000</t>
  </si>
  <si>
    <t>5001-10000</t>
  </si>
  <si>
    <t>10001-20000</t>
  </si>
  <si>
    <t>20001-30000</t>
  </si>
  <si>
    <t>30001-40000</t>
  </si>
  <si>
    <t>40001-50000</t>
  </si>
  <si>
    <t>50001-60000</t>
  </si>
  <si>
    <t>60001-90000</t>
  </si>
  <si>
    <t>90001-120000</t>
  </si>
  <si>
    <t>120001-150000</t>
  </si>
  <si>
    <t>150001-ขึ้นไป</t>
  </si>
  <si>
    <t>ช่วง ปชก.(คน)</t>
  </si>
  <si>
    <t>ค่าคะแนนเกณฑ์กลางประเทศ</t>
  </si>
  <si>
    <t>ค่าคะแนนเกณฑ์ที่เขตปรับ</t>
  </si>
  <si>
    <t>OPปรับด้วย Step ladder+diff cap</t>
  </si>
  <si>
    <t>OPปรับด้วย Step ladder+diff cap ทอนวงเงิน</t>
  </si>
  <si>
    <t>P&amp;P ปรับด้วย Step ladder+diff cap</t>
  </si>
  <si>
    <t>P&amp;P ปรับด้วย Step ladder+diff cap ทอนวงเงิน</t>
  </si>
  <si>
    <t>ปชก</t>
  </si>
  <si>
    <t>[26]</t>
  </si>
  <si>
    <t>ส่วนต่างของประมาณการรายรับกับยอดประกันตามเกณฑ์กลางปี65</t>
  </si>
  <si>
    <t>ปรับเกลี่ยแล้ว</t>
  </si>
  <si>
    <t>คงเหลือยังไม่ปรับเกลี่ย</t>
  </si>
  <si>
    <t>ยอดประกันตามที่เขตปรับเกลี่ย</t>
  </si>
  <si>
    <t>sheet3. สรุปวงเงินเขต คือ ผลรวมวงเงินระดับเขตที่ได้รับจัดสรรตามหลักเกณฑ์ของ สป.สธ.ในsheet2 ,วงเงินกันระดับเขต(3,200 ล้านบาท)  ที่แต่ละเขตต้องปรับเกลี่ย</t>
  </si>
  <si>
    <r>
      <t xml:space="preserve">4.2 </t>
    </r>
    <r>
      <rPr>
        <sz val="11"/>
        <color rgb="FFC00000"/>
        <rFont val="Calibri"/>
        <family val="2"/>
        <scheme val="minor"/>
      </rPr>
      <t>(จะดำเนินการหรือไม่ก็ได้)</t>
    </r>
    <r>
      <rPr>
        <sz val="11"/>
        <color theme="1"/>
        <rFont val="Calibri"/>
        <family val="2"/>
        <charset val="222"/>
        <scheme val="minor"/>
      </rPr>
      <t xml:space="preserve"> ให้เขตปรับค่าKรายหน่วยบริการในคอลัมภ์ H เพื่อใช้คำนวณ IP </t>
    </r>
    <r>
      <rPr>
        <sz val="11"/>
        <color rgb="FFFF0000"/>
        <rFont val="Calibri"/>
        <family val="2"/>
        <scheme val="minor"/>
      </rPr>
      <t>(หากเขตไม่มีการปรับ จะใช้ค่าKกลางประเทศ)</t>
    </r>
  </si>
  <si>
    <r>
      <t xml:space="preserve">4.1 </t>
    </r>
    <r>
      <rPr>
        <sz val="11"/>
        <color rgb="FFC00000"/>
        <rFont val="Calibri"/>
        <family val="2"/>
        <scheme val="minor"/>
      </rPr>
      <t>(จะดำเนินการหรือไม่ก็ได้)</t>
    </r>
    <r>
      <rPr>
        <sz val="11"/>
        <color theme="1"/>
        <rFont val="Calibri"/>
        <family val="2"/>
        <charset val="222"/>
        <scheme val="minor"/>
      </rPr>
      <t xml:space="preserve"> ให้เขตนำร่องปรับค่าคะแนนในแต่ละช่วงประชากร โดยให้ยืนยันการปรับปรับใน cell I1 และปรับค่าคะแนนใน cell L2-L12 </t>
    </r>
    <r>
      <rPr>
        <sz val="11"/>
        <color rgb="FFFF0000"/>
        <rFont val="Calibri"/>
        <family val="2"/>
        <scheme val="minor"/>
      </rPr>
      <t>(หากเขตไม่มีการปรับ จะใช้ค่ากลางประเทศ)</t>
    </r>
  </si>
  <si>
    <t>4.4 ให้เขตปรับเกลี่ยเงินกันระดับเขตที่เขตได้รับจัดสรร ให้กับ CUP ต่างๆ ภายใต้วงเงินของแต่ละเขตในคอลัมภ์ [24]</t>
  </si>
  <si>
    <r>
      <t>4.5 สำหรับจังหวัดที่ต้องกันเงิน Virtual account เพื่อวัตถุประสงค์OP Refer ข้ามจังหวัด และหรือ OP Refer ในจังหวัด/OP AE ในจังหวัด ให้ระบุจำนวนเงินที่จะกันจากแต่ละCUP โดยเงินกันนี้จะถูกนำไปหักในรายรับ OP ของแต่ละCUP ในคอลัมภ์</t>
    </r>
    <r>
      <rPr>
        <sz val="11"/>
        <color rgb="FFFF0000"/>
        <rFont val="Calibri"/>
        <family val="2"/>
        <scheme val="minor"/>
      </rPr>
      <t xml:space="preserve"> [26], [27]</t>
    </r>
  </si>
  <si>
    <t>[10]</t>
  </si>
  <si>
    <t>[11]=[9]-[10]</t>
  </si>
  <si>
    <t>[13]=[4]*8,350</t>
  </si>
  <si>
    <t>[14]=[5]*9,600</t>
  </si>
  <si>
    <t>[15]=[6]*9,000</t>
  </si>
  <si>
    <t>[16]=[7]*[12,000]</t>
  </si>
  <si>
    <t>adjRW ในเขต</t>
  </si>
  <si>
    <t>adjRW นอกเขต</t>
  </si>
  <si>
    <t xml:space="preserve">adjRW NB นน.&lt;1,500g/ป่วย </t>
  </si>
  <si>
    <t>adjRW NB นน.&lt;1,500g/ป่วย มีหัตถการราคาแพง</t>
  </si>
  <si>
    <t>วงเงิน OP เหมาจ่าย</t>
  </si>
  <si>
    <t>วงเงิน PP เหมาจ่าย</t>
  </si>
  <si>
    <t>กันเงินจ่ายตรวจคัดกรองการได้ยิน</t>
  </si>
  <si>
    <t>วงเงิน PP เหมาจ่าย
หลังปรับลดการตรวจคัดกรองการได้ยิน</t>
  </si>
  <si>
    <t>PP workload</t>
  </si>
  <si>
    <t>ประมาณการเงิน IP ในเขต</t>
  </si>
  <si>
    <t>ประมาณการเงิน IP NB นน.&lt;1,500g/ป่วย</t>
  </si>
  <si>
    <t>ประมาณการเงิน IP NB นน.&lt;1,500g/ป่วย มีหัตถการราคาแพง</t>
  </si>
  <si>
    <t>รวมก่อนปรับลดค่าแรง</t>
  </si>
  <si>
    <t>[8]</t>
  </si>
  <si>
    <t>[9]=[1]*[2]</t>
  </si>
  <si>
    <t>[10]=[1]*[3]</t>
  </si>
  <si>
    <t>[12]=[5]*9,600</t>
  </si>
  <si>
    <t>[11]=[4]*K*[8]</t>
  </si>
  <si>
    <t>[13]=[6]*9,000</t>
  </si>
  <si>
    <t>[14]=[7]*12,000</t>
  </si>
  <si>
    <t>[15]=[9]+…+[14]</t>
  </si>
  <si>
    <t>[17]=[15]-[16]</t>
  </si>
  <si>
    <t>เงินเติมตามเกณฑ์ สป.สธ.ปี66</t>
  </si>
  <si>
    <t>รวมประมาณการรายรับหลังปรับลดค่าแรงปี66 รวมเงินเติมตามเกณฑ์</t>
  </si>
  <si>
    <t>ยอดเงินที่ประกันตามเกณฑ์กลางปี66</t>
  </si>
  <si>
    <t>ยอดเงินประกันจะต้องได้ไม่น้อยกว่าหรือเท่ากับ 90% ของยอดประกันปี65</t>
  </si>
  <si>
    <t>อัตรา PP หลังปรับตรวจคัดกรอง</t>
  </si>
  <si>
    <t>ประมาณการ IP NB ป่วย/นน.&lt;1,500g</t>
  </si>
  <si>
    <t>ประมาณการ IP NB ป่วย มีหัตถการราคาแพง</t>
  </si>
  <si>
    <t>ประมาณการเงิน IP NBป่วย/นน.&lt;1,500g</t>
  </si>
  <si>
    <t>ประมาณการเงิน IP NBนน.&lt;1,500g/ป่วย มีหัตถการราคาแพง</t>
  </si>
  <si>
    <t>ประมาณการ adjRW NB นน.&lt;1,500g/ป่วย มีหัตถการราคาแพง</t>
  </si>
  <si>
    <t>ยอดเงินประกันสำหรับเขตจะต้องได้ไม่น้อยกว่าหรือเท่ากับ 90% ของยอดประกันปี65</t>
  </si>
  <si>
    <t>ประมาณการรายรับปี66 ไม่รวมเงินเติมระดับเขต หักด้วย Virtual account</t>
  </si>
  <si>
    <t>ประมาณการรายรรับปี66 รวมเงินเติมระดับเขต หักด้วย Virtual account</t>
  </si>
  <si>
    <t>[19]=[17]+[18]</t>
  </si>
  <si>
    <t>[20]</t>
  </si>
  <si>
    <t>[21]</t>
  </si>
  <si>
    <t>[22]=[19]-[20]</t>
  </si>
  <si>
    <t>[23]=[19]-[21]</t>
  </si>
  <si>
    <t>[25]</t>
  </si>
  <si>
    <t>[27]=[19]+[26]</t>
  </si>
  <si>
    <t>[28]</t>
  </si>
  <si>
    <t>[29]</t>
  </si>
  <si>
    <t>[30]=[28]+[29]</t>
  </si>
  <si>
    <t>[31]=[19]-[30]</t>
  </si>
  <si>
    <t>[32]=[27]-[30]</t>
  </si>
  <si>
    <t>ผลการจัดสรรเงินสร้างเสริมสุขภาพและป้องกันโรค สำหรับประชากรสิทธิอื่น (Non UC) ปีงบประมาณ 2566</t>
  </si>
  <si>
    <t>ผลการจัดสรรเงินค่าบริการทางการแพทย์ OP/PP/IP สำหรับหน่วยบริการสังกัดสำนักงานปลัดกระทรวงสาธารณสุข ปีงบประมาณ 2566 (เขตปรับเกลี่ย)</t>
  </si>
  <si>
    <t>ค่า K ที่ใช้คำนวณ IP ปี66</t>
  </si>
  <si>
    <t>ยอดเงินที่ประกันปี66</t>
  </si>
  <si>
    <t>ยอดเงินประกันตามเกณฑ์กลางปี66</t>
  </si>
  <si>
    <t>ส่วนต่างของประมาณการรายรับกับยอดประกันเขตนำร่อง ที่90% ของยอดประกันปี65</t>
  </si>
  <si>
    <t>[17]=[8]+[9]+[11]+…+[16]</t>
  </si>
  <si>
    <r>
      <t xml:space="preserve">4.3 </t>
    </r>
    <r>
      <rPr>
        <sz val="11"/>
        <color rgb="FFC00000"/>
        <rFont val="Calibri"/>
        <family val="2"/>
        <scheme val="minor"/>
      </rPr>
      <t>(จะดำเนินการหรือไม่ก็ได้ การปรับนี้สัมพันธ์จากการปรับข้อ4.1และ4.2)</t>
    </r>
    <r>
      <rPr>
        <sz val="11"/>
        <color theme="1"/>
        <rFont val="Calibri"/>
        <family val="2"/>
        <charset val="222"/>
        <scheme val="minor"/>
      </rPr>
      <t xml:space="preserve"> ให้เขตปรับเกลี่ยเงินเติมที่เขตได้รับจัดสรรตามเกณฑ์กลางให้กับ CUP ต่างๆภายใต้วงเงินที่เขตได้รับในคอลัมภ์ [16] ทั้งนี้ผลการปรับเกลี่ย ค่าคะแนนStepและค่าK รวมกับการปรับเกลี่ยเงินเติมตามเกณฑ์ฯ แต่ละ CUP ต้องได้เงินไม่น้อยกว่า 90%ของยอดประกันปี65 ในคอลัมภ์ [19]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</si>
</sst>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,##0_ ;[Red]\-#,##0\ "/>
    <numFmt numFmtId="167" formatCode="#,##0.0000_ ;[Red]\-#,##0.0000\ "/>
    <numFmt numFmtId="168" formatCode="_-* #,##0.0000_-;\-* #,##0.0000_-;_-* &quot;-&quot;??_-;_-@_-"/>
  </numFmts>
  <fonts count="3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22"/>
      <scheme val="minor"/>
    </font>
    <font>
      <sz val="10"/>
      <color theme="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0"/>
      <color theme="0" tint="-0.499984740745262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indexed="81"/>
      <name val="Tahoma"/>
      <family val="2"/>
    </font>
    <font>
      <b/>
      <sz val="18"/>
      <color indexed="81"/>
      <name val="Tahoma"/>
      <family val="2"/>
    </font>
    <font>
      <sz val="18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30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3" fontId="7" fillId="0" borderId="0" xfId="5" applyFont="1" applyFill="1" applyBorder="1"/>
    <xf numFmtId="164" fontId="6" fillId="0" borderId="2" xfId="0" applyNumberFormat="1" applyFont="1" applyBorder="1"/>
    <xf numFmtId="0" fontId="6" fillId="6" borderId="1" xfId="0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6" applyFont="1"/>
    <xf numFmtId="0" fontId="15" fillId="0" borderId="0" xfId="6" applyFont="1"/>
    <xf numFmtId="0" fontId="6" fillId="0" borderId="0" xfId="7" applyFont="1"/>
    <xf numFmtId="0" fontId="7" fillId="7" borderId="6" xfId="7" applyFont="1" applyFill="1" applyBorder="1" applyAlignment="1">
      <alignment horizontal="center" vertical="center" wrapText="1"/>
    </xf>
    <xf numFmtId="0" fontId="7" fillId="7" borderId="7" xfId="7" quotePrefix="1" applyFont="1" applyFill="1" applyBorder="1" applyAlignment="1">
      <alignment horizontal="center" vertical="center" wrapText="1"/>
    </xf>
    <xf numFmtId="0" fontId="7" fillId="0" borderId="0" xfId="7" quotePrefix="1" applyFont="1" applyAlignment="1">
      <alignment horizontal="center" vertical="center" wrapText="1"/>
    </xf>
    <xf numFmtId="0" fontId="6" fillId="4" borderId="6" xfId="6" applyFont="1" applyFill="1" applyBorder="1" applyAlignment="1">
      <alignment horizontal="center" vertical="center"/>
    </xf>
    <xf numFmtId="0" fontId="6" fillId="4" borderId="7" xfId="6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horizontal="center" vertical="center" wrapText="1"/>
    </xf>
    <xf numFmtId="0" fontId="7" fillId="0" borderId="8" xfId="7" applyFont="1" applyBorder="1" applyAlignment="1">
      <alignment horizontal="left"/>
    </xf>
    <xf numFmtId="43" fontId="7" fillId="0" borderId="9" xfId="5" applyFont="1" applyFill="1" applyBorder="1"/>
    <xf numFmtId="0" fontId="7" fillId="0" borderId="8" xfId="7" quotePrefix="1" applyFont="1" applyBorder="1" applyAlignment="1">
      <alignment horizontal="center" vertical="center" wrapText="1"/>
    </xf>
    <xf numFmtId="43" fontId="6" fillId="0" borderId="9" xfId="5" applyFont="1" applyBorder="1"/>
    <xf numFmtId="43" fontId="6" fillId="0" borderId="0" xfId="7" applyNumberFormat="1" applyFont="1"/>
    <xf numFmtId="43" fontId="7" fillId="0" borderId="0" xfId="4" applyFont="1" applyFill="1" applyBorder="1"/>
    <xf numFmtId="43" fontId="7" fillId="0" borderId="0" xfId="7" applyNumberFormat="1" applyFont="1"/>
    <xf numFmtId="2" fontId="6" fillId="0" borderId="0" xfId="7" applyNumberFormat="1" applyFont="1"/>
    <xf numFmtId="43" fontId="6" fillId="0" borderId="0" xfId="4" applyFont="1" applyFill="1" applyBorder="1"/>
    <xf numFmtId="0" fontId="6" fillId="0" borderId="0" xfId="7" applyFont="1" applyAlignment="1">
      <alignment horizontal="center"/>
    </xf>
    <xf numFmtId="43" fontId="7" fillId="8" borderId="8" xfId="5" quotePrefix="1" applyFont="1" applyFill="1" applyBorder="1" applyAlignment="1">
      <alignment horizontal="center" vertical="center"/>
    </xf>
    <xf numFmtId="43" fontId="6" fillId="8" borderId="9" xfId="5" applyFont="1" applyFill="1" applyBorder="1"/>
    <xf numFmtId="0" fontId="6" fillId="0" borderId="0" xfId="7" quotePrefix="1" applyFont="1" applyAlignment="1">
      <alignment horizontal="center"/>
    </xf>
    <xf numFmtId="165" fontId="6" fillId="0" borderId="0" xfId="4" applyNumberFormat="1" applyFont="1" applyFill="1" applyBorder="1"/>
    <xf numFmtId="0" fontId="8" fillId="0" borderId="0" xfId="7" applyFont="1"/>
    <xf numFmtId="0" fontId="7" fillId="0" borderId="0" xfId="7" applyFont="1"/>
    <xf numFmtId="43" fontId="6" fillId="0" borderId="0" xfId="7" applyNumberFormat="1" applyFont="1" applyAlignment="1">
      <alignment horizontal="center"/>
    </xf>
    <xf numFmtId="165" fontId="7" fillId="0" borderId="0" xfId="4" applyNumberFormat="1" applyFont="1" applyFill="1" applyBorder="1"/>
    <xf numFmtId="43" fontId="16" fillId="0" borderId="0" xfId="7" applyNumberFormat="1" applyFont="1"/>
    <xf numFmtId="0" fontId="17" fillId="2" borderId="8" xfId="7" applyFont="1" applyFill="1" applyBorder="1"/>
    <xf numFmtId="43" fontId="17" fillId="2" borderId="9" xfId="5" applyFont="1" applyFill="1" applyBorder="1"/>
    <xf numFmtId="43" fontId="17" fillId="0" borderId="0" xfId="5" applyFont="1" applyFill="1" applyBorder="1"/>
    <xf numFmtId="165" fontId="6" fillId="0" borderId="0" xfId="7" applyNumberFormat="1" applyFont="1" applyAlignment="1">
      <alignment horizontal="center"/>
    </xf>
    <xf numFmtId="0" fontId="7" fillId="0" borderId="8" xfId="7" applyFont="1" applyBorder="1"/>
    <xf numFmtId="10" fontId="6" fillId="0" borderId="0" xfId="8" applyNumberFormat="1" applyFont="1" applyFill="1" applyBorder="1"/>
    <xf numFmtId="0" fontId="16" fillId="0" borderId="0" xfId="7" applyFont="1" applyAlignment="1">
      <alignment horizontal="center"/>
    </xf>
    <xf numFmtId="0" fontId="16" fillId="0" borderId="0" xfId="7" quotePrefix="1" applyFont="1" applyAlignment="1">
      <alignment horizontal="center"/>
    </xf>
    <xf numFmtId="0" fontId="17" fillId="7" borderId="10" xfId="7" applyFont="1" applyFill="1" applyBorder="1"/>
    <xf numFmtId="43" fontId="17" fillId="7" borderId="11" xfId="5" applyFont="1" applyFill="1" applyBorder="1"/>
    <xf numFmtId="0" fontId="7" fillId="0" borderId="0" xfId="6" applyFont="1"/>
    <xf numFmtId="43" fontId="7" fillId="0" borderId="0" xfId="5" applyFont="1" applyBorder="1"/>
    <xf numFmtId="0" fontId="6" fillId="4" borderId="10" xfId="6" applyFont="1" applyFill="1" applyBorder="1" applyAlignment="1">
      <alignment horizontal="center"/>
    </xf>
    <xf numFmtId="43" fontId="6" fillId="4" borderId="11" xfId="6" applyNumberFormat="1" applyFont="1" applyFill="1" applyBorder="1"/>
    <xf numFmtId="0" fontId="7" fillId="0" borderId="0" xfId="6" applyFont="1" applyAlignment="1">
      <alignment vertical="center" wrapText="1"/>
    </xf>
    <xf numFmtId="43" fontId="7" fillId="0" borderId="0" xfId="4" applyFont="1" applyFill="1" applyBorder="1" applyAlignment="1">
      <alignment horizontal="right"/>
    </xf>
    <xf numFmtId="0" fontId="6" fillId="0" borderId="0" xfId="7" applyFont="1" applyAlignment="1">
      <alignment horizontal="right"/>
    </xf>
    <xf numFmtId="0" fontId="6" fillId="0" borderId="2" xfId="0" applyFont="1" applyBorder="1"/>
    <xf numFmtId="0" fontId="6" fillId="6" borderId="3" xfId="0" applyFont="1" applyFill="1" applyBorder="1" applyAlignment="1">
      <alignment horizontal="center" vertical="center" wrapText="1"/>
    </xf>
    <xf numFmtId="43" fontId="10" fillId="5" borderId="15" xfId="4" applyFont="1" applyFill="1" applyBorder="1" applyAlignment="1" applyProtection="1"/>
    <xf numFmtId="43" fontId="11" fillId="0" borderId="0" xfId="4" applyFont="1" applyFill="1" applyBorder="1" applyAlignment="1" applyProtection="1">
      <alignment horizontal="right"/>
    </xf>
    <xf numFmtId="164" fontId="11" fillId="0" borderId="0" xfId="5" applyNumberFormat="1" applyFont="1" applyFill="1" applyBorder="1" applyAlignment="1" applyProtection="1">
      <alignment horizontal="right"/>
    </xf>
    <xf numFmtId="164" fontId="6" fillId="0" borderId="2" xfId="5" applyNumberFormat="1" applyFont="1" applyFill="1" applyBorder="1" applyProtection="1"/>
    <xf numFmtId="164" fontId="6" fillId="6" borderId="2" xfId="2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14" fillId="0" borderId="0" xfId="9" applyFont="1"/>
    <xf numFmtId="0" fontId="21" fillId="0" borderId="2" xfId="9" applyFont="1" applyBorder="1" applyAlignment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Protection="1">
      <protection locked="0"/>
    </xf>
    <xf numFmtId="164" fontId="6" fillId="5" borderId="3" xfId="2" applyNumberFormat="1" applyFont="1" applyFill="1" applyBorder="1"/>
    <xf numFmtId="0" fontId="10" fillId="5" borderId="0" xfId="7" applyFont="1" applyFill="1"/>
    <xf numFmtId="164" fontId="6" fillId="5" borderId="17" xfId="2" applyNumberFormat="1" applyFont="1" applyFill="1" applyBorder="1"/>
    <xf numFmtId="0" fontId="10" fillId="5" borderId="19" xfId="7" applyFont="1" applyFill="1" applyBorder="1"/>
    <xf numFmtId="164" fontId="6" fillId="5" borderId="20" xfId="2" applyNumberFormat="1" applyFont="1" applyFill="1" applyBorder="1"/>
    <xf numFmtId="0" fontId="13" fillId="6" borderId="1" xfId="0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43" fontId="10" fillId="6" borderId="2" xfId="7" applyNumberFormat="1" applyFont="1" applyFill="1" applyBorder="1" applyAlignment="1">
      <alignment horizontal="center" vertical="center"/>
    </xf>
    <xf numFmtId="0" fontId="6" fillId="0" borderId="20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9" borderId="4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6" fillId="9" borderId="2" xfId="2" applyFont="1" applyFill="1" applyBorder="1" applyAlignment="1">
      <alignment horizontal="center" vertical="center" wrapText="1"/>
    </xf>
    <xf numFmtId="0" fontId="6" fillId="6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64" fontId="6" fillId="0" borderId="2" xfId="1" applyNumberFormat="1" applyFont="1" applyFill="1" applyBorder="1" applyProtection="1"/>
    <xf numFmtId="166" fontId="6" fillId="0" borderId="2" xfId="1" applyNumberFormat="1" applyFont="1" applyFill="1" applyBorder="1" applyProtection="1"/>
    <xf numFmtId="167" fontId="6" fillId="0" borderId="2" xfId="1" applyNumberFormat="1" applyFont="1" applyFill="1" applyBorder="1" applyProtection="1"/>
    <xf numFmtId="164" fontId="6" fillId="0" borderId="2" xfId="2" applyNumberFormat="1" applyFont="1" applyBorder="1"/>
    <xf numFmtId="164" fontId="6" fillId="0" borderId="2" xfId="2" applyNumberFormat="1" applyFont="1" applyBorder="1" applyAlignment="1">
      <alignment horizontal="center"/>
    </xf>
    <xf numFmtId="164" fontId="6" fillId="6" borderId="2" xfId="0" applyNumberFormat="1" applyFont="1" applyFill="1" applyBorder="1" applyProtection="1">
      <protection locked="0"/>
    </xf>
    <xf numFmtId="164" fontId="6" fillId="5" borderId="2" xfId="0" applyNumberFormat="1" applyFont="1" applyFill="1" applyBorder="1"/>
    <xf numFmtId="0" fontId="21" fillId="10" borderId="1" xfId="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0" borderId="12" xfId="9" applyFont="1" applyBorder="1" applyAlignment="1">
      <alignment vertical="center"/>
    </xf>
    <xf numFmtId="164" fontId="14" fillId="0" borderId="4" xfId="9" applyNumberFormat="1" applyFont="1" applyBorder="1" applyProtection="1">
      <protection locked="0"/>
    </xf>
    <xf numFmtId="0" fontId="6" fillId="0" borderId="5" xfId="0" applyFont="1" applyBorder="1"/>
    <xf numFmtId="164" fontId="6" fillId="0" borderId="5" xfId="1" applyNumberFormat="1" applyFont="1" applyFill="1" applyBorder="1" applyProtection="1"/>
    <xf numFmtId="164" fontId="6" fillId="6" borderId="5" xfId="1" applyNumberFormat="1" applyFont="1" applyFill="1" applyBorder="1" applyProtection="1">
      <protection locked="0"/>
    </xf>
    <xf numFmtId="164" fontId="6" fillId="0" borderId="5" xfId="5" applyNumberFormat="1" applyFont="1" applyFill="1" applyBorder="1" applyProtection="1"/>
    <xf numFmtId="164" fontId="6" fillId="0" borderId="5" xfId="0" applyNumberFormat="1" applyFont="1" applyBorder="1"/>
    <xf numFmtId="167" fontId="6" fillId="0" borderId="5" xfId="1" applyNumberFormat="1" applyFont="1" applyFill="1" applyBorder="1" applyProtection="1"/>
    <xf numFmtId="164" fontId="6" fillId="6" borderId="5" xfId="2" applyNumberFormat="1" applyFont="1" applyFill="1" applyBorder="1" applyProtection="1">
      <protection locked="0"/>
    </xf>
    <xf numFmtId="164" fontId="6" fillId="0" borderId="5" xfId="2" applyNumberFormat="1" applyFont="1" applyBorder="1"/>
    <xf numFmtId="164" fontId="6" fillId="6" borderId="5" xfId="0" applyNumberFormat="1" applyFont="1" applyFill="1" applyBorder="1" applyProtection="1">
      <protection locked="0"/>
    </xf>
    <xf numFmtId="43" fontId="6" fillId="0" borderId="0" xfId="0" applyNumberFormat="1" applyFont="1"/>
    <xf numFmtId="43" fontId="6" fillId="0" borderId="0" xfId="1" applyFont="1" applyProtection="1"/>
    <xf numFmtId="2" fontId="26" fillId="0" borderId="2" xfId="0" applyNumberFormat="1" applyFont="1" applyBorder="1" applyAlignment="1">
      <alignment horizontal="center"/>
    </xf>
    <xf numFmtId="0" fontId="6" fillId="14" borderId="0" xfId="0" applyFont="1" applyFill="1"/>
    <xf numFmtId="0" fontId="6" fillId="15" borderId="2" xfId="0" applyFont="1" applyFill="1" applyBorder="1" applyAlignment="1">
      <alignment horizontal="center" vertical="center" wrapText="1"/>
    </xf>
    <xf numFmtId="0" fontId="18" fillId="6" borderId="2" xfId="2" applyFont="1" applyFill="1" applyBorder="1" applyAlignment="1">
      <alignment horizontal="center" vertical="center" wrapText="1"/>
    </xf>
    <xf numFmtId="0" fontId="21" fillId="0" borderId="1" xfId="9" applyFont="1" applyBorder="1" applyAlignment="1">
      <alignment vertical="center"/>
    </xf>
    <xf numFmtId="0" fontId="21" fillId="0" borderId="14" xfId="9" applyFont="1" applyBorder="1" applyAlignment="1">
      <alignment vertical="center"/>
    </xf>
    <xf numFmtId="164" fontId="14" fillId="0" borderId="3" xfId="9" applyNumberFormat="1" applyFont="1" applyBorder="1" applyProtection="1">
      <protection locked="0"/>
    </xf>
    <xf numFmtId="0" fontId="21" fillId="0" borderId="5" xfId="9" applyFont="1" applyBorder="1" applyAlignment="1">
      <alignment vertical="center"/>
    </xf>
    <xf numFmtId="0" fontId="21" fillId="0" borderId="18" xfId="9" applyFont="1" applyBorder="1" applyAlignment="1">
      <alignment vertical="center"/>
    </xf>
    <xf numFmtId="164" fontId="14" fillId="0" borderId="20" xfId="9" applyNumberFormat="1" applyFont="1" applyBorder="1" applyProtection="1">
      <protection locked="0"/>
    </xf>
    <xf numFmtId="0" fontId="6" fillId="16" borderId="2" xfId="0" applyFont="1" applyFill="1" applyBorder="1" applyAlignment="1">
      <alignment vertical="center" wrapText="1"/>
    </xf>
    <xf numFmtId="0" fontId="6" fillId="16" borderId="2" xfId="0" applyFont="1" applyFill="1" applyBorder="1" applyAlignment="1">
      <alignment horizontal="center" vertical="center" wrapText="1"/>
    </xf>
    <xf numFmtId="2" fontId="6" fillId="17" borderId="2" xfId="0" applyNumberFormat="1" applyFont="1" applyFill="1" applyBorder="1" applyAlignment="1" applyProtection="1">
      <alignment horizontal="center"/>
      <protection locked="0"/>
    </xf>
    <xf numFmtId="0" fontId="7" fillId="6" borderId="2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6" fillId="18" borderId="0" xfId="0" applyFont="1" applyFill="1"/>
    <xf numFmtId="43" fontId="6" fillId="18" borderId="0" xfId="0" applyNumberFormat="1" applyFont="1" applyFill="1" applyAlignment="1">
      <alignment horizontal="right"/>
    </xf>
    <xf numFmtId="43" fontId="6" fillId="18" borderId="0" xfId="0" applyNumberFormat="1" applyFont="1" applyFill="1"/>
    <xf numFmtId="0" fontId="6" fillId="18" borderId="0" xfId="0" applyFont="1" applyFill="1" applyAlignment="1">
      <alignment horizontal="right"/>
    </xf>
    <xf numFmtId="164" fontId="6" fillId="18" borderId="0" xfId="0" applyNumberFormat="1" applyFont="1" applyFill="1"/>
    <xf numFmtId="43" fontId="10" fillId="6" borderId="20" xfId="7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3" fontId="6" fillId="0" borderId="22" xfId="7" applyNumberFormat="1" applyFont="1" applyBorder="1"/>
    <xf numFmtId="43" fontId="6" fillId="0" borderId="0" xfId="6" applyNumberFormat="1" applyFont="1"/>
    <xf numFmtId="166" fontId="6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10" fillId="0" borderId="0" xfId="7" applyNumberFormat="1" applyFont="1" applyAlignment="1">
      <alignment horizontal="center" vertical="center"/>
    </xf>
    <xf numFmtId="0" fontId="9" fillId="6" borderId="5" xfId="2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6" fillId="0" borderId="2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20" borderId="2" xfId="0" applyFont="1" applyFill="1" applyBorder="1" applyAlignment="1">
      <alignment horizontal="center" vertical="center"/>
    </xf>
    <xf numFmtId="0" fontId="16" fillId="20" borderId="2" xfId="0" applyFont="1" applyFill="1" applyBorder="1" applyAlignment="1">
      <alignment vertical="center"/>
    </xf>
    <xf numFmtId="0" fontId="6" fillId="20" borderId="2" xfId="0" applyFont="1" applyFill="1" applyBorder="1" applyAlignment="1">
      <alignment vertical="center"/>
    </xf>
    <xf numFmtId="164" fontId="6" fillId="20" borderId="2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166" fontId="6" fillId="0" borderId="5" xfId="1" applyNumberFormat="1" applyFont="1" applyFill="1" applyBorder="1" applyProtection="1"/>
    <xf numFmtId="164" fontId="6" fillId="0" borderId="5" xfId="2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16" fillId="5" borderId="2" xfId="0" applyFont="1" applyFill="1" applyBorder="1"/>
    <xf numFmtId="164" fontId="6" fillId="5" borderId="2" xfId="1" applyNumberFormat="1" applyFont="1" applyFill="1" applyBorder="1" applyProtection="1"/>
    <xf numFmtId="164" fontId="6" fillId="5" borderId="2" xfId="1" applyNumberFormat="1" applyFont="1" applyFill="1" applyBorder="1" applyProtection="1">
      <protection locked="0"/>
    </xf>
    <xf numFmtId="164" fontId="6" fillId="5" borderId="2" xfId="5" applyNumberFormat="1" applyFont="1" applyFill="1" applyBorder="1" applyProtection="1"/>
    <xf numFmtId="166" fontId="6" fillId="5" borderId="2" xfId="1" applyNumberFormat="1" applyFont="1" applyFill="1" applyBorder="1" applyProtection="1"/>
    <xf numFmtId="167" fontId="6" fillId="5" borderId="2" xfId="1" applyNumberFormat="1" applyFont="1" applyFill="1" applyBorder="1" applyProtection="1"/>
    <xf numFmtId="164" fontId="6" fillId="5" borderId="2" xfId="2" applyNumberFormat="1" applyFont="1" applyFill="1" applyBorder="1" applyProtection="1">
      <protection locked="0"/>
    </xf>
    <xf numFmtId="164" fontId="6" fillId="5" borderId="2" xfId="2" applyNumberFormat="1" applyFont="1" applyFill="1" applyBorder="1"/>
    <xf numFmtId="164" fontId="6" fillId="5" borderId="2" xfId="2" applyNumberFormat="1" applyFont="1" applyFill="1" applyBorder="1" applyAlignment="1">
      <alignment horizontal="center"/>
    </xf>
    <xf numFmtId="164" fontId="6" fillId="5" borderId="2" xfId="0" applyNumberFormat="1" applyFont="1" applyFill="1" applyBorder="1" applyProtection="1">
      <protection locked="0"/>
    </xf>
    <xf numFmtId="0" fontId="6" fillId="7" borderId="5" xfId="0" applyFont="1" applyFill="1" applyBorder="1" applyAlignment="1">
      <alignment horizontal="center"/>
    </xf>
    <xf numFmtId="0" fontId="6" fillId="7" borderId="5" xfId="0" applyFont="1" applyFill="1" applyBorder="1"/>
    <xf numFmtId="0" fontId="16" fillId="7" borderId="5" xfId="0" applyFont="1" applyFill="1" applyBorder="1"/>
    <xf numFmtId="164" fontId="6" fillId="7" borderId="5" xfId="1" applyNumberFormat="1" applyFont="1" applyFill="1" applyBorder="1" applyProtection="1"/>
    <xf numFmtId="164" fontId="6" fillId="7" borderId="5" xfId="1" applyNumberFormat="1" applyFont="1" applyFill="1" applyBorder="1" applyProtection="1">
      <protection locked="0"/>
    </xf>
    <xf numFmtId="164" fontId="6" fillId="7" borderId="5" xfId="5" applyNumberFormat="1" applyFont="1" applyFill="1" applyBorder="1" applyProtection="1"/>
    <xf numFmtId="166" fontId="6" fillId="7" borderId="5" xfId="1" applyNumberFormat="1" applyFont="1" applyFill="1" applyBorder="1" applyProtection="1"/>
    <xf numFmtId="164" fontId="6" fillId="7" borderId="5" xfId="0" applyNumberFormat="1" applyFont="1" applyFill="1" applyBorder="1"/>
    <xf numFmtId="167" fontId="6" fillId="7" borderId="5" xfId="1" applyNumberFormat="1" applyFont="1" applyFill="1" applyBorder="1" applyProtection="1"/>
    <xf numFmtId="164" fontId="6" fillId="7" borderId="5" xfId="2" applyNumberFormat="1" applyFont="1" applyFill="1" applyBorder="1" applyProtection="1">
      <protection locked="0"/>
    </xf>
    <xf numFmtId="164" fontId="6" fillId="7" borderId="5" xfId="2" applyNumberFormat="1" applyFont="1" applyFill="1" applyBorder="1"/>
    <xf numFmtId="164" fontId="6" fillId="7" borderId="5" xfId="2" applyNumberFormat="1" applyFont="1" applyFill="1" applyBorder="1" applyAlignment="1">
      <alignment horizontal="center"/>
    </xf>
    <xf numFmtId="164" fontId="6" fillId="7" borderId="5" xfId="0" applyNumberFormat="1" applyFont="1" applyFill="1" applyBorder="1" applyProtection="1">
      <protection locked="0"/>
    </xf>
    <xf numFmtId="0" fontId="7" fillId="7" borderId="1" xfId="0" applyFont="1" applyFill="1" applyBorder="1" applyAlignment="1">
      <alignment horizontal="center" vertical="center" wrapText="1"/>
    </xf>
    <xf numFmtId="0" fontId="21" fillId="0" borderId="21" xfId="9" applyFont="1" applyBorder="1" applyAlignment="1">
      <alignment vertical="center"/>
    </xf>
    <xf numFmtId="0" fontId="21" fillId="0" borderId="16" xfId="9" applyFont="1" applyBorder="1" applyAlignment="1">
      <alignment vertical="center"/>
    </xf>
    <xf numFmtId="0" fontId="21" fillId="6" borderId="2" xfId="9" applyFont="1" applyFill="1" applyBorder="1" applyAlignment="1">
      <alignment vertical="center"/>
    </xf>
    <xf numFmtId="0" fontId="22" fillId="6" borderId="2" xfId="9" applyFont="1" applyFill="1" applyBorder="1" applyAlignment="1">
      <alignment vertical="center"/>
    </xf>
    <xf numFmtId="164" fontId="14" fillId="7" borderId="3" xfId="9" applyNumberFormat="1" applyFont="1" applyFill="1" applyBorder="1" applyProtection="1">
      <protection locked="0"/>
    </xf>
    <xf numFmtId="43" fontId="14" fillId="2" borderId="21" xfId="1" applyFont="1" applyFill="1" applyBorder="1"/>
    <xf numFmtId="43" fontId="14" fillId="6" borderId="2" xfId="1" applyFont="1" applyFill="1" applyBorder="1"/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3" fontId="7" fillId="0" borderId="0" xfId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3" fontId="7" fillId="0" borderId="2" xfId="1" applyFont="1" applyFill="1" applyBorder="1" applyAlignment="1">
      <alignment vertical="center"/>
    </xf>
    <xf numFmtId="168" fontId="7" fillId="0" borderId="2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7" fillId="20" borderId="1" xfId="0" applyFont="1" applyFill="1" applyBorder="1"/>
    <xf numFmtId="0" fontId="7" fillId="20" borderId="1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7" fillId="20" borderId="1" xfId="2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20" borderId="2" xfId="2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20" borderId="14" xfId="0" applyFont="1" applyFill="1" applyBorder="1"/>
    <xf numFmtId="0" fontId="7" fillId="20" borderId="18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0" fontId="7" fillId="20" borderId="2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vertical="center"/>
    </xf>
    <xf numFmtId="0" fontId="17" fillId="20" borderId="2" xfId="0" applyFont="1" applyFill="1" applyBorder="1" applyAlignment="1">
      <alignment vertical="center"/>
    </xf>
    <xf numFmtId="164" fontId="7" fillId="20" borderId="2" xfId="1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43" fontId="7" fillId="0" borderId="0" xfId="1" applyFont="1"/>
    <xf numFmtId="43" fontId="7" fillId="0" borderId="0" xfId="1" applyFont="1" applyAlignment="1">
      <alignment vertical="center" wrapText="1"/>
    </xf>
    <xf numFmtId="165" fontId="7" fillId="0" borderId="2" xfId="1" applyNumberFormat="1" applyFont="1" applyFill="1" applyBorder="1" applyAlignment="1">
      <alignment vertical="center"/>
    </xf>
    <xf numFmtId="43" fontId="7" fillId="0" borderId="2" xfId="0" applyNumberFormat="1" applyFont="1" applyBorder="1" applyAlignment="1">
      <alignment vertical="center"/>
    </xf>
    <xf numFmtId="0" fontId="7" fillId="19" borderId="2" xfId="0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165" fontId="7" fillId="0" borderId="5" xfId="1" applyNumberFormat="1" applyFont="1" applyFill="1" applyBorder="1" applyAlignment="1">
      <alignment vertical="center"/>
    </xf>
    <xf numFmtId="168" fontId="7" fillId="0" borderId="5" xfId="1" applyNumberFormat="1" applyFont="1" applyFill="1" applyBorder="1" applyAlignment="1">
      <alignment vertical="center"/>
    </xf>
    <xf numFmtId="43" fontId="7" fillId="0" borderId="5" xfId="0" applyNumberFormat="1" applyFont="1" applyBorder="1" applyAlignment="1">
      <alignment vertical="center"/>
    </xf>
    <xf numFmtId="43" fontId="7" fillId="0" borderId="0" xfId="1" applyFont="1" applyBorder="1"/>
    <xf numFmtId="0" fontId="7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3" xfId="0" applyFont="1" applyFill="1" applyBorder="1" applyAlignment="1">
      <alignment horizontal="center" vertical="center" wrapText="1"/>
    </xf>
    <xf numFmtId="0" fontId="7" fillId="20" borderId="3" xfId="2" applyFont="1" applyFill="1" applyBorder="1" applyAlignment="1">
      <alignment horizontal="center" vertical="center" wrapText="1"/>
    </xf>
    <xf numFmtId="0" fontId="7" fillId="20" borderId="5" xfId="2" applyFont="1" applyFill="1" applyBorder="1" applyAlignment="1">
      <alignment horizontal="center" vertical="center" wrapText="1"/>
    </xf>
    <xf numFmtId="9" fontId="7" fillId="20" borderId="2" xfId="0" applyNumberFormat="1" applyFont="1" applyFill="1" applyBorder="1" applyAlignment="1">
      <alignment horizontal="center" vertical="center" wrapText="1"/>
    </xf>
    <xf numFmtId="43" fontId="7" fillId="5" borderId="2" xfId="1" applyFont="1" applyFill="1" applyBorder="1" applyAlignment="1">
      <alignment vertical="center"/>
    </xf>
    <xf numFmtId="165" fontId="7" fillId="5" borderId="2" xfId="1" applyNumberFormat="1" applyFont="1" applyFill="1" applyBorder="1" applyAlignment="1">
      <alignment vertical="center"/>
    </xf>
    <xf numFmtId="168" fontId="7" fillId="5" borderId="2" xfId="1" applyNumberFormat="1" applyFont="1" applyFill="1" applyBorder="1" applyAlignment="1">
      <alignment vertical="center"/>
    </xf>
    <xf numFmtId="43" fontId="7" fillId="5" borderId="2" xfId="0" applyNumberFormat="1" applyFont="1" applyFill="1" applyBorder="1" applyAlignment="1">
      <alignment vertical="center"/>
    </xf>
    <xf numFmtId="43" fontId="7" fillId="20" borderId="2" xfId="1" applyFont="1" applyFill="1" applyBorder="1" applyAlignment="1">
      <alignment vertical="center"/>
    </xf>
    <xf numFmtId="165" fontId="7" fillId="20" borderId="2" xfId="1" applyNumberFormat="1" applyFont="1" applyFill="1" applyBorder="1" applyAlignment="1">
      <alignment vertical="center"/>
    </xf>
    <xf numFmtId="168" fontId="7" fillId="20" borderId="2" xfId="1" applyNumberFormat="1" applyFont="1" applyFill="1" applyBorder="1" applyAlignment="1">
      <alignment vertical="center"/>
    </xf>
    <xf numFmtId="43" fontId="7" fillId="20" borderId="2" xfId="0" applyNumberFormat="1" applyFont="1" applyFill="1" applyBorder="1" applyAlignment="1">
      <alignment vertical="center"/>
    </xf>
    <xf numFmtId="0" fontId="7" fillId="2" borderId="0" xfId="2" applyFont="1" applyFill="1"/>
    <xf numFmtId="164" fontId="7" fillId="2" borderId="0" xfId="2" applyNumberFormat="1" applyFont="1" applyFill="1" applyAlignment="1">
      <alignment horizontal="right"/>
    </xf>
    <xf numFmtId="0" fontId="7" fillId="2" borderId="0" xfId="2" applyFont="1" applyFill="1" applyAlignment="1">
      <alignment vertical="center" wrapText="1"/>
    </xf>
    <xf numFmtId="164" fontId="7" fillId="2" borderId="0" xfId="2" applyNumberFormat="1" applyFont="1" applyFill="1" applyAlignment="1">
      <alignment horizontal="right" wrapText="1"/>
    </xf>
    <xf numFmtId="43" fontId="33" fillId="0" borderId="0" xfId="1" applyFont="1" applyBorder="1"/>
    <xf numFmtId="0" fontId="7" fillId="5" borderId="0" xfId="2" applyFont="1" applyFill="1" applyAlignment="1">
      <alignment vertical="center"/>
    </xf>
    <xf numFmtId="164" fontId="7" fillId="5" borderId="0" xfId="2" applyNumberFormat="1" applyFont="1" applyFill="1" applyAlignment="1">
      <alignment horizontal="right" vertical="center"/>
    </xf>
    <xf numFmtId="0" fontId="7" fillId="19" borderId="0" xfId="0" applyFont="1" applyFill="1" applyAlignment="1">
      <alignment horizontal="center" vertical="center" wrapText="1"/>
    </xf>
    <xf numFmtId="43" fontId="7" fillId="19" borderId="0" xfId="1" applyFont="1" applyFill="1" applyBorder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  <xf numFmtId="49" fontId="7" fillId="11" borderId="0" xfId="0" quotePrefix="1" applyNumberFormat="1" applyFont="1" applyFill="1" applyAlignment="1">
      <alignment horizontal="center" vertical="center" wrapText="1"/>
    </xf>
    <xf numFmtId="49" fontId="7" fillId="11" borderId="0" xfId="0" applyNumberFormat="1" applyFont="1" applyFill="1" applyAlignment="1">
      <alignment horizontal="center" vertical="center" wrapText="1"/>
    </xf>
    <xf numFmtId="165" fontId="7" fillId="11" borderId="0" xfId="4" applyNumberFormat="1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10" fillId="13" borderId="0" xfId="0" applyFont="1" applyFill="1" applyAlignment="1">
      <alignment horizontal="center" vertical="center" wrapText="1"/>
    </xf>
    <xf numFmtId="43" fontId="7" fillId="0" borderId="0" xfId="1" applyFont="1" applyFill="1" applyBorder="1"/>
    <xf numFmtId="0" fontId="21" fillId="21" borderId="2" xfId="9" applyFont="1" applyFill="1" applyBorder="1" applyAlignment="1">
      <alignment vertical="center"/>
    </xf>
    <xf numFmtId="0" fontId="22" fillId="21" borderId="2" xfId="9" applyFont="1" applyFill="1" applyBorder="1" applyAlignment="1">
      <alignment vertical="center"/>
    </xf>
    <xf numFmtId="43" fontId="14" fillId="21" borderId="2" xfId="1" applyFont="1" applyFill="1" applyBorder="1"/>
    <xf numFmtId="164" fontId="14" fillId="21" borderId="2" xfId="1" applyNumberFormat="1" applyFont="1" applyFill="1" applyBorder="1" applyProtection="1">
      <protection locked="0"/>
    </xf>
    <xf numFmtId="0" fontId="6" fillId="21" borderId="2" xfId="0" applyFont="1" applyFill="1" applyBorder="1" applyAlignment="1">
      <alignment horizontal="center" vertical="center"/>
    </xf>
    <xf numFmtId="0" fontId="6" fillId="21" borderId="0" xfId="0" applyFont="1" applyFill="1" applyAlignment="1">
      <alignment vertical="center"/>
    </xf>
    <xf numFmtId="0" fontId="16" fillId="21" borderId="2" xfId="0" applyFont="1" applyFill="1" applyBorder="1" applyAlignment="1">
      <alignment vertical="center"/>
    </xf>
    <xf numFmtId="0" fontId="6" fillId="21" borderId="2" xfId="0" applyFont="1" applyFill="1" applyBorder="1" applyAlignment="1">
      <alignment vertical="center"/>
    </xf>
    <xf numFmtId="164" fontId="6" fillId="21" borderId="2" xfId="0" applyNumberFormat="1" applyFont="1" applyFill="1" applyBorder="1" applyAlignment="1">
      <alignment vertical="center"/>
    </xf>
    <xf numFmtId="0" fontId="29" fillId="15" borderId="0" xfId="0" applyFont="1" applyFill="1" applyAlignment="1" applyProtection="1">
      <alignment horizontal="center" vertical="center"/>
      <protection locked="0"/>
    </xf>
    <xf numFmtId="0" fontId="6" fillId="6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14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17" xfId="2" applyFont="1" applyFill="1" applyBorder="1" applyAlignment="1">
      <alignment horizontal="center" vertical="center"/>
    </xf>
    <xf numFmtId="0" fontId="6" fillId="5" borderId="18" xfId="2" applyFont="1" applyFill="1" applyBorder="1" applyAlignment="1">
      <alignment horizontal="center" vertical="center"/>
    </xf>
    <xf numFmtId="0" fontId="6" fillId="5" borderId="20" xfId="2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43" fontId="10" fillId="3" borderId="14" xfId="7" applyNumberFormat="1" applyFont="1" applyFill="1" applyBorder="1" applyAlignment="1">
      <alignment horizontal="center" vertical="center"/>
    </xf>
    <xf numFmtId="43" fontId="10" fillId="3" borderId="15" xfId="7" applyNumberFormat="1" applyFont="1" applyFill="1" applyBorder="1" applyAlignment="1">
      <alignment horizontal="center" vertical="center"/>
    </xf>
    <xf numFmtId="43" fontId="10" fillId="3" borderId="16" xfId="7" applyNumberFormat="1" applyFont="1" applyFill="1" applyBorder="1" applyAlignment="1">
      <alignment horizontal="center" vertical="center"/>
    </xf>
    <xf numFmtId="43" fontId="10" fillId="3" borderId="0" xfId="7" applyNumberFormat="1" applyFont="1" applyFill="1" applyAlignment="1">
      <alignment horizontal="center" vertical="center"/>
    </xf>
    <xf numFmtId="43" fontId="10" fillId="3" borderId="18" xfId="7" applyNumberFormat="1" applyFont="1" applyFill="1" applyBorder="1" applyAlignment="1">
      <alignment horizontal="center" vertical="center"/>
    </xf>
    <xf numFmtId="43" fontId="10" fillId="3" borderId="19" xfId="7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2" applyFont="1" applyAlignment="1">
      <alignment horizontal="center"/>
    </xf>
  </cellXfs>
  <cellStyles count="10">
    <cellStyle name="Comma" xfId="1" builtinId="3"/>
    <cellStyle name="Comma 2" xfId="5" xr:uid="{68CB19FB-D699-4E3B-9E47-7AAB51792089}"/>
    <cellStyle name="Comma 3" xfId="4" xr:uid="{B536570B-431E-47C5-9C81-7D1F012C93DF}"/>
    <cellStyle name="Normal" xfId="0" builtinId="0"/>
    <cellStyle name="Normal 2" xfId="9" xr:uid="{B9E72BB2-406D-4EAB-880A-8215DBD58A4F}"/>
    <cellStyle name="Normal 2 2" xfId="2" xr:uid="{08D4F05C-B3ED-4384-8736-E4FFDFD4DF30}"/>
    <cellStyle name="Normal 2 2 2" xfId="3" xr:uid="{9FA498CE-E9B3-41B6-9420-699C27A86C73}"/>
    <cellStyle name="Normal 2 4" xfId="6" xr:uid="{A276E633-C2E0-4930-88A5-5944D0924D29}"/>
    <cellStyle name="Normal 3" xfId="7" xr:uid="{B15F435D-DC30-48E3-AB85-7FDAD30B1E78}"/>
    <cellStyle name="Percent 2" xfId="8" xr:uid="{625AE1F5-E968-4963-8A9D-E4CF4FC397B9}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66FFFF"/>
      <color rgb="FFFF9021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9EA3-E8E3-4669-AF37-6F7AF7976E72}">
  <sheetPr>
    <tabColor rgb="FFFFFF00"/>
  </sheetPr>
  <dimension ref="A1:AG105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8" sqref="A8"/>
      <selection pane="bottomRight" activeCell="B9" sqref="B9"/>
    </sheetView>
  </sheetViews>
  <sheetFormatPr defaultColWidth="9" defaultRowHeight="13" outlineLevelRow="2"/>
  <cols>
    <col min="1" max="1" width="4.36328125" style="193" customWidth="1"/>
    <col min="2" max="2" width="9" style="193" customWidth="1"/>
    <col min="3" max="3" width="9" style="193"/>
    <col min="4" max="4" width="9" style="193" customWidth="1"/>
    <col min="5" max="5" width="9" style="193"/>
    <col min="6" max="6" width="13.26953125" style="193" customWidth="1"/>
    <col min="7" max="7" width="14" style="235" bestFit="1" customWidth="1"/>
    <col min="8" max="8" width="18" style="193" customWidth="1"/>
    <col min="9" max="9" width="9" style="193"/>
    <col min="10" max="10" width="15.6328125" style="193" customWidth="1"/>
    <col min="11" max="19" width="13" style="193" bestFit="1" customWidth="1"/>
    <col min="20" max="21" width="11.36328125" style="193" bestFit="1" customWidth="1"/>
    <col min="22" max="22" width="14" style="193" bestFit="1" customWidth="1"/>
    <col min="23" max="23" width="13.453125" style="193" customWidth="1"/>
    <col min="24" max="25" width="16.08984375" style="193" customWidth="1"/>
    <col min="26" max="27" width="9" style="193" customWidth="1"/>
    <col min="28" max="28" width="18" style="193" customWidth="1"/>
    <col min="29" max="30" width="16.26953125" style="193" customWidth="1"/>
    <col min="31" max="31" width="9" style="193" customWidth="1"/>
    <col min="32" max="32" width="10.08984375" style="193" bestFit="1" customWidth="1"/>
    <col min="33" max="33" width="17.6328125" style="193" bestFit="1" customWidth="1"/>
    <col min="34" max="16384" width="9" style="193"/>
  </cols>
  <sheetData>
    <row r="1" spans="1:33">
      <c r="J1" s="2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33" ht="12" customHeight="1">
      <c r="J2" s="252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X2" s="254"/>
      <c r="AB2" s="198"/>
      <c r="AC2" s="254"/>
    </row>
    <row r="3" spans="1:33">
      <c r="J3" s="255" t="s">
        <v>323</v>
      </c>
      <c r="K3" s="256">
        <f>'4.เขตปรับKและเกลี่ยเงินเพิ่มฯ'!$L2</f>
        <v>0</v>
      </c>
      <c r="L3" s="256">
        <f>'4.เขตปรับKและเกลี่ยเงินเพิ่มฯ'!$L3</f>
        <v>0</v>
      </c>
      <c r="M3" s="256">
        <f>'4.เขตปรับKและเกลี่ยเงินเพิ่มฯ'!$L4</f>
        <v>0</v>
      </c>
      <c r="N3" s="256">
        <f>'4.เขตปรับKและเกลี่ยเงินเพิ่มฯ'!$L5</f>
        <v>0</v>
      </c>
      <c r="O3" s="256">
        <f>'4.เขตปรับKและเกลี่ยเงินเพิ่มฯ'!$L6</f>
        <v>0</v>
      </c>
      <c r="P3" s="256">
        <f>'4.เขตปรับKและเกลี่ยเงินเพิ่มฯ'!$L7</f>
        <v>0</v>
      </c>
      <c r="Q3" s="256">
        <f>'4.เขตปรับKและเกลี่ยเงินเพิ่มฯ'!$L8</f>
        <v>0</v>
      </c>
      <c r="R3" s="256">
        <f>'4.เขตปรับKและเกลี่ยเงินเพิ่มฯ'!$L9</f>
        <v>0</v>
      </c>
      <c r="S3" s="256">
        <f>'4.เขตปรับKและเกลี่ยเงินเพิ่มฯ'!$L10</f>
        <v>0</v>
      </c>
      <c r="T3" s="256">
        <f>'4.เขตปรับKและเกลี่ยเงินเพิ่มฯ'!$L11</f>
        <v>0</v>
      </c>
      <c r="U3" s="256">
        <f>'4.เขตปรับKและเกลี่ยเงินเพิ่มฯ'!$L12</f>
        <v>0</v>
      </c>
      <c r="V3" s="198"/>
      <c r="X3" s="198">
        <f>X100</f>
        <v>0</v>
      </c>
      <c r="Y3" s="198">
        <f>'2.จัดสรรหลังSK'!P99</f>
        <v>5129086269.6900005</v>
      </c>
      <c r="AB3" s="198"/>
      <c r="AC3" s="198">
        <f>AC100</f>
        <v>0</v>
      </c>
      <c r="AD3" s="198">
        <f>'2.จัดสรรหลังSK'!Q99</f>
        <v>1006076852.48</v>
      </c>
      <c r="AG3" s="198"/>
    </row>
    <row r="4" spans="1:33" s="194" customFormat="1" ht="59.25" customHeight="1">
      <c r="A4" s="257" t="s">
        <v>324</v>
      </c>
      <c r="B4" s="257" t="s">
        <v>9</v>
      </c>
      <c r="C4" s="257" t="s">
        <v>325</v>
      </c>
      <c r="D4" s="257" t="s">
        <v>326</v>
      </c>
      <c r="E4" s="257" t="s">
        <v>10</v>
      </c>
      <c r="F4" s="257" t="s">
        <v>11</v>
      </c>
      <c r="G4" s="258" t="s">
        <v>355</v>
      </c>
      <c r="H4" s="257" t="s">
        <v>327</v>
      </c>
      <c r="I4" s="257" t="s">
        <v>398</v>
      </c>
      <c r="J4" s="259" t="s">
        <v>328</v>
      </c>
      <c r="K4" s="260" t="s">
        <v>337</v>
      </c>
      <c r="L4" s="260" t="s">
        <v>338</v>
      </c>
      <c r="M4" s="260" t="s">
        <v>339</v>
      </c>
      <c r="N4" s="260" t="s">
        <v>340</v>
      </c>
      <c r="O4" s="260" t="s">
        <v>341</v>
      </c>
      <c r="P4" s="260" t="s">
        <v>342</v>
      </c>
      <c r="Q4" s="260" t="s">
        <v>343</v>
      </c>
      <c r="R4" s="260" t="s">
        <v>344</v>
      </c>
      <c r="S4" s="260" t="s">
        <v>345</v>
      </c>
      <c r="T4" s="260" t="s">
        <v>346</v>
      </c>
      <c r="U4" s="260" t="s">
        <v>347</v>
      </c>
      <c r="V4" s="261" t="s">
        <v>329</v>
      </c>
      <c r="W4" s="262" t="s">
        <v>330</v>
      </c>
      <c r="X4" s="263" t="s">
        <v>351</v>
      </c>
      <c r="Y4" s="263" t="s">
        <v>352</v>
      </c>
      <c r="Z4" s="263" t="s">
        <v>331</v>
      </c>
      <c r="AA4" s="264" t="s">
        <v>332</v>
      </c>
      <c r="AB4" s="264" t="s">
        <v>333</v>
      </c>
      <c r="AC4" s="265" t="s">
        <v>353</v>
      </c>
      <c r="AD4" s="266" t="s">
        <v>354</v>
      </c>
      <c r="AE4" s="265" t="s">
        <v>334</v>
      </c>
      <c r="AF4" s="264" t="s">
        <v>335</v>
      </c>
      <c r="AG4" s="264" t="s">
        <v>336</v>
      </c>
    </row>
    <row r="5" spans="1:33" ht="16.899999999999999" customHeight="1" outlineLevel="2">
      <c r="A5" s="193" t="s">
        <v>26</v>
      </c>
      <c r="B5" s="193" t="s">
        <v>27</v>
      </c>
      <c r="C5" s="193" t="s">
        <v>28</v>
      </c>
      <c r="D5" s="193" t="s">
        <v>29</v>
      </c>
      <c r="E5" s="193" t="s">
        <v>29</v>
      </c>
      <c r="F5" s="193" t="s">
        <v>30</v>
      </c>
      <c r="G5" s="235">
        <v>77001</v>
      </c>
      <c r="H5" s="235">
        <v>1282.5900000000001</v>
      </c>
      <c r="I5" s="235">
        <v>147.91</v>
      </c>
      <c r="J5" s="235">
        <v>77001</v>
      </c>
      <c r="K5" s="235">
        <v>5000</v>
      </c>
      <c r="L5" s="235">
        <v>5000</v>
      </c>
      <c r="M5" s="235">
        <v>10000</v>
      </c>
      <c r="N5" s="235">
        <v>10000</v>
      </c>
      <c r="O5" s="235">
        <v>10000</v>
      </c>
      <c r="P5" s="235">
        <v>10000</v>
      </c>
      <c r="Q5" s="235">
        <v>10000</v>
      </c>
      <c r="R5" s="235">
        <v>17001</v>
      </c>
      <c r="S5" s="235">
        <v>0</v>
      </c>
      <c r="T5" s="235">
        <v>0</v>
      </c>
      <c r="U5" s="235">
        <v>0</v>
      </c>
      <c r="V5" s="267">
        <f t="shared" ref="V5:V19" si="0">SUM(K5:U5)</f>
        <v>77001</v>
      </c>
      <c r="W5" s="267">
        <f t="shared" ref="W5:W19" si="1">SUMPRODUCT($K$3:$U$3,$K5:$U5)</f>
        <v>0</v>
      </c>
      <c r="X5" s="267">
        <f t="shared" ref="X5:X19" si="2">ROUND(W5*H5,2)</f>
        <v>0</v>
      </c>
      <c r="Y5" s="267" t="e">
        <f t="shared" ref="Y5:Y21" si="3">ROUND(X5*$Y$3/$X$3,2)</f>
        <v>#DIV/0!</v>
      </c>
      <c r="Z5" s="113" t="str">
        <f t="shared" ref="Z5:Z12" si="4">IFERROR(Y5/V5,"")</f>
        <v/>
      </c>
      <c r="AA5" s="113" t="str">
        <f t="shared" ref="AA5:AA12" si="5">INDEX(Z$5:Z$99,MATCH($D5,$E$5:$E$99,0))</f>
        <v/>
      </c>
      <c r="AB5" s="267">
        <f t="shared" ref="AB5:AB21" si="6">IFERROR(ROUND(G5*AA5,2),0)</f>
        <v>0</v>
      </c>
      <c r="AC5" s="267">
        <f t="shared" ref="AC5:AC19" si="7">ROUND(W5*I5,2)</f>
        <v>0</v>
      </c>
      <c r="AD5" s="267" t="e">
        <f t="shared" ref="AD5:AD21" si="8">ROUND(AC5*$AD$3/$AC$3,2)</f>
        <v>#DIV/0!</v>
      </c>
      <c r="AE5" s="113" t="str">
        <f t="shared" ref="AE5:AE12" si="9">IFERROR(AD5/V5,"")</f>
        <v/>
      </c>
      <c r="AF5" s="113" t="str">
        <f t="shared" ref="AF5:AF12" si="10">INDEX(AE$5:AE$99,MATCH($D5,E$5:E$99,0))</f>
        <v/>
      </c>
      <c r="AG5" s="267">
        <f t="shared" ref="AG5:AG21" si="11">IFERROR(ROUND(G5*AF5,2),0)</f>
        <v>0</v>
      </c>
    </row>
    <row r="6" spans="1:33" ht="16.899999999999999" customHeight="1" outlineLevel="2">
      <c r="A6" s="193" t="s">
        <v>26</v>
      </c>
      <c r="B6" s="193" t="s">
        <v>27</v>
      </c>
      <c r="C6" s="193" t="s">
        <v>28</v>
      </c>
      <c r="D6" s="193" t="s">
        <v>31</v>
      </c>
      <c r="E6" s="193" t="s">
        <v>31</v>
      </c>
      <c r="F6" s="193" t="s">
        <v>32</v>
      </c>
      <c r="G6" s="235">
        <v>42139</v>
      </c>
      <c r="H6" s="235">
        <v>1282.5900000000001</v>
      </c>
      <c r="I6" s="235">
        <v>147.91</v>
      </c>
      <c r="J6" s="235">
        <v>42139</v>
      </c>
      <c r="K6" s="235">
        <v>5000</v>
      </c>
      <c r="L6" s="235">
        <v>5000</v>
      </c>
      <c r="M6" s="235">
        <v>10000</v>
      </c>
      <c r="N6" s="235">
        <v>10000</v>
      </c>
      <c r="O6" s="235">
        <v>10000</v>
      </c>
      <c r="P6" s="235">
        <v>2139</v>
      </c>
      <c r="Q6" s="235">
        <v>0</v>
      </c>
      <c r="R6" s="235">
        <v>0</v>
      </c>
      <c r="S6" s="235">
        <v>0</v>
      </c>
      <c r="T6" s="235">
        <v>0</v>
      </c>
      <c r="U6" s="235">
        <v>0</v>
      </c>
      <c r="V6" s="267">
        <f t="shared" si="0"/>
        <v>42139</v>
      </c>
      <c r="W6" s="267">
        <f t="shared" si="1"/>
        <v>0</v>
      </c>
      <c r="X6" s="267">
        <f t="shared" si="2"/>
        <v>0</v>
      </c>
      <c r="Y6" s="267" t="e">
        <f t="shared" si="3"/>
        <v>#DIV/0!</v>
      </c>
      <c r="Z6" s="113" t="str">
        <f t="shared" si="4"/>
        <v/>
      </c>
      <c r="AA6" s="113" t="str">
        <f t="shared" si="5"/>
        <v/>
      </c>
      <c r="AB6" s="267">
        <f t="shared" si="6"/>
        <v>0</v>
      </c>
      <c r="AC6" s="267">
        <f t="shared" si="7"/>
        <v>0</v>
      </c>
      <c r="AD6" s="267" t="e">
        <f t="shared" si="8"/>
        <v>#DIV/0!</v>
      </c>
      <c r="AE6" s="113" t="str">
        <f t="shared" si="9"/>
        <v/>
      </c>
      <c r="AF6" s="113" t="str">
        <f t="shared" si="10"/>
        <v/>
      </c>
      <c r="AG6" s="267">
        <f t="shared" si="11"/>
        <v>0</v>
      </c>
    </row>
    <row r="7" spans="1:33" ht="16.899999999999999" customHeight="1" outlineLevel="2">
      <c r="A7" s="193" t="s">
        <v>26</v>
      </c>
      <c r="B7" s="193" t="s">
        <v>27</v>
      </c>
      <c r="C7" s="193" t="s">
        <v>28</v>
      </c>
      <c r="D7" s="193" t="s">
        <v>33</v>
      </c>
      <c r="E7" s="193" t="s">
        <v>33</v>
      </c>
      <c r="F7" s="193" t="s">
        <v>34</v>
      </c>
      <c r="G7" s="235">
        <v>49027</v>
      </c>
      <c r="H7" s="235">
        <v>1282.5900000000001</v>
      </c>
      <c r="I7" s="235">
        <v>147.91</v>
      </c>
      <c r="J7" s="235">
        <v>49027</v>
      </c>
      <c r="K7" s="235">
        <v>5000</v>
      </c>
      <c r="L7" s="235">
        <v>5000</v>
      </c>
      <c r="M7" s="235">
        <v>10000</v>
      </c>
      <c r="N7" s="235">
        <v>10000</v>
      </c>
      <c r="O7" s="235">
        <v>10000</v>
      </c>
      <c r="P7" s="235">
        <v>9027</v>
      </c>
      <c r="Q7" s="235">
        <v>0</v>
      </c>
      <c r="R7" s="235">
        <v>0</v>
      </c>
      <c r="S7" s="235">
        <v>0</v>
      </c>
      <c r="T7" s="235">
        <v>0</v>
      </c>
      <c r="U7" s="235">
        <v>0</v>
      </c>
      <c r="V7" s="267">
        <f t="shared" si="0"/>
        <v>49027</v>
      </c>
      <c r="W7" s="267">
        <f t="shared" si="1"/>
        <v>0</v>
      </c>
      <c r="X7" s="267">
        <f t="shared" si="2"/>
        <v>0</v>
      </c>
      <c r="Y7" s="267" t="e">
        <f t="shared" si="3"/>
        <v>#DIV/0!</v>
      </c>
      <c r="Z7" s="113" t="str">
        <f t="shared" si="4"/>
        <v/>
      </c>
      <c r="AA7" s="113" t="str">
        <f t="shared" si="5"/>
        <v/>
      </c>
      <c r="AB7" s="267">
        <f t="shared" si="6"/>
        <v>0</v>
      </c>
      <c r="AC7" s="267">
        <f t="shared" si="7"/>
        <v>0</v>
      </c>
      <c r="AD7" s="267" t="e">
        <f t="shared" si="8"/>
        <v>#DIV/0!</v>
      </c>
      <c r="AE7" s="113" t="str">
        <f t="shared" si="9"/>
        <v/>
      </c>
      <c r="AF7" s="113" t="str">
        <f t="shared" si="10"/>
        <v/>
      </c>
      <c r="AG7" s="267">
        <f t="shared" si="11"/>
        <v>0</v>
      </c>
    </row>
    <row r="8" spans="1:33" ht="16.899999999999999" customHeight="1" outlineLevel="2">
      <c r="A8" s="193" t="s">
        <v>26</v>
      </c>
      <c r="B8" s="193" t="s">
        <v>27</v>
      </c>
      <c r="C8" s="193" t="s">
        <v>28</v>
      </c>
      <c r="D8" s="193" t="s">
        <v>35</v>
      </c>
      <c r="E8" s="193" t="s">
        <v>35</v>
      </c>
      <c r="F8" s="193" t="s">
        <v>36</v>
      </c>
      <c r="G8" s="235">
        <v>53969</v>
      </c>
      <c r="H8" s="235">
        <v>1282.5900000000001</v>
      </c>
      <c r="I8" s="235">
        <v>147.91</v>
      </c>
      <c r="J8" s="235">
        <v>53969</v>
      </c>
      <c r="K8" s="235">
        <v>5000</v>
      </c>
      <c r="L8" s="235">
        <v>5000</v>
      </c>
      <c r="M8" s="235">
        <v>10000</v>
      </c>
      <c r="N8" s="235">
        <v>10000</v>
      </c>
      <c r="O8" s="235">
        <v>10000</v>
      </c>
      <c r="P8" s="235">
        <v>10000</v>
      </c>
      <c r="Q8" s="235">
        <v>3969</v>
      </c>
      <c r="R8" s="235">
        <v>0</v>
      </c>
      <c r="S8" s="235">
        <v>0</v>
      </c>
      <c r="T8" s="235">
        <v>0</v>
      </c>
      <c r="U8" s="235">
        <v>0</v>
      </c>
      <c r="V8" s="267">
        <f t="shared" si="0"/>
        <v>53969</v>
      </c>
      <c r="W8" s="267">
        <f t="shared" si="1"/>
        <v>0</v>
      </c>
      <c r="X8" s="267">
        <f t="shared" si="2"/>
        <v>0</v>
      </c>
      <c r="Y8" s="267" t="e">
        <f t="shared" si="3"/>
        <v>#DIV/0!</v>
      </c>
      <c r="Z8" s="113" t="str">
        <f t="shared" si="4"/>
        <v/>
      </c>
      <c r="AA8" s="113" t="str">
        <f t="shared" si="5"/>
        <v/>
      </c>
      <c r="AB8" s="267">
        <f t="shared" si="6"/>
        <v>0</v>
      </c>
      <c r="AC8" s="267">
        <f t="shared" si="7"/>
        <v>0</v>
      </c>
      <c r="AD8" s="267" t="e">
        <f t="shared" si="8"/>
        <v>#DIV/0!</v>
      </c>
      <c r="AE8" s="113" t="str">
        <f t="shared" si="9"/>
        <v/>
      </c>
      <c r="AF8" s="113" t="str">
        <f t="shared" si="10"/>
        <v/>
      </c>
      <c r="AG8" s="267">
        <f t="shared" si="11"/>
        <v>0</v>
      </c>
    </row>
    <row r="9" spans="1:33" ht="16.899999999999999" customHeight="1" outlineLevel="2">
      <c r="A9" s="193" t="s">
        <v>26</v>
      </c>
      <c r="B9" s="193" t="s">
        <v>27</v>
      </c>
      <c r="C9" s="193" t="s">
        <v>28</v>
      </c>
      <c r="D9" s="193" t="s">
        <v>37</v>
      </c>
      <c r="E9" s="193" t="s">
        <v>37</v>
      </c>
      <c r="F9" s="193" t="s">
        <v>38</v>
      </c>
      <c r="G9" s="235">
        <v>31236</v>
      </c>
      <c r="H9" s="235">
        <v>1282.5900000000001</v>
      </c>
      <c r="I9" s="235">
        <v>147.91</v>
      </c>
      <c r="J9" s="235">
        <v>31236</v>
      </c>
      <c r="K9" s="235">
        <v>5000</v>
      </c>
      <c r="L9" s="235">
        <v>5000</v>
      </c>
      <c r="M9" s="235">
        <v>10000</v>
      </c>
      <c r="N9" s="235">
        <v>10000</v>
      </c>
      <c r="O9" s="235">
        <v>1236</v>
      </c>
      <c r="P9" s="235">
        <v>0</v>
      </c>
      <c r="Q9" s="235">
        <v>0</v>
      </c>
      <c r="R9" s="235">
        <v>0</v>
      </c>
      <c r="S9" s="235">
        <v>0</v>
      </c>
      <c r="T9" s="235">
        <v>0</v>
      </c>
      <c r="U9" s="235">
        <v>0</v>
      </c>
      <c r="V9" s="267">
        <f t="shared" si="0"/>
        <v>31236</v>
      </c>
      <c r="W9" s="267">
        <f t="shared" si="1"/>
        <v>0</v>
      </c>
      <c r="X9" s="267">
        <f t="shared" si="2"/>
        <v>0</v>
      </c>
      <c r="Y9" s="267" t="e">
        <f t="shared" si="3"/>
        <v>#DIV/0!</v>
      </c>
      <c r="Z9" s="113" t="str">
        <f t="shared" si="4"/>
        <v/>
      </c>
      <c r="AA9" s="113" t="str">
        <f t="shared" si="5"/>
        <v/>
      </c>
      <c r="AB9" s="267">
        <f t="shared" si="6"/>
        <v>0</v>
      </c>
      <c r="AC9" s="267">
        <f t="shared" si="7"/>
        <v>0</v>
      </c>
      <c r="AD9" s="267" t="e">
        <f t="shared" si="8"/>
        <v>#DIV/0!</v>
      </c>
      <c r="AE9" s="113" t="str">
        <f t="shared" si="9"/>
        <v/>
      </c>
      <c r="AF9" s="113" t="str">
        <f t="shared" si="10"/>
        <v/>
      </c>
      <c r="AG9" s="267">
        <f t="shared" si="11"/>
        <v>0</v>
      </c>
    </row>
    <row r="10" spans="1:33" ht="16.899999999999999" customHeight="1" outlineLevel="2">
      <c r="A10" s="193" t="s">
        <v>26</v>
      </c>
      <c r="B10" s="193" t="s">
        <v>27</v>
      </c>
      <c r="C10" s="193" t="s">
        <v>28</v>
      </c>
      <c r="D10" s="193" t="s">
        <v>39</v>
      </c>
      <c r="E10" s="193" t="s">
        <v>39</v>
      </c>
      <c r="F10" s="193" t="s">
        <v>40</v>
      </c>
      <c r="G10" s="235">
        <v>31262</v>
      </c>
      <c r="H10" s="235">
        <v>1282.5900000000001</v>
      </c>
      <c r="I10" s="235">
        <v>147.91</v>
      </c>
      <c r="J10" s="235">
        <v>31262</v>
      </c>
      <c r="K10" s="235">
        <v>5000</v>
      </c>
      <c r="L10" s="235">
        <v>5000</v>
      </c>
      <c r="M10" s="235">
        <v>10000</v>
      </c>
      <c r="N10" s="235">
        <v>10000</v>
      </c>
      <c r="O10" s="235">
        <v>1262</v>
      </c>
      <c r="P10" s="235">
        <v>0</v>
      </c>
      <c r="Q10" s="235">
        <v>0</v>
      </c>
      <c r="R10" s="235">
        <v>0</v>
      </c>
      <c r="S10" s="235">
        <v>0</v>
      </c>
      <c r="T10" s="235">
        <v>0</v>
      </c>
      <c r="U10" s="235">
        <v>0</v>
      </c>
      <c r="V10" s="267">
        <f t="shared" si="0"/>
        <v>31262</v>
      </c>
      <c r="W10" s="267">
        <f t="shared" si="1"/>
        <v>0</v>
      </c>
      <c r="X10" s="267">
        <f t="shared" si="2"/>
        <v>0</v>
      </c>
      <c r="Y10" s="267" t="e">
        <f t="shared" si="3"/>
        <v>#DIV/0!</v>
      </c>
      <c r="Z10" s="113" t="str">
        <f t="shared" si="4"/>
        <v/>
      </c>
      <c r="AA10" s="113" t="str">
        <f t="shared" si="5"/>
        <v/>
      </c>
      <c r="AB10" s="267">
        <f t="shared" si="6"/>
        <v>0</v>
      </c>
      <c r="AC10" s="267">
        <f t="shared" si="7"/>
        <v>0</v>
      </c>
      <c r="AD10" s="267" t="e">
        <f t="shared" si="8"/>
        <v>#DIV/0!</v>
      </c>
      <c r="AE10" s="113" t="str">
        <f t="shared" si="9"/>
        <v/>
      </c>
      <c r="AF10" s="113" t="str">
        <f t="shared" si="10"/>
        <v/>
      </c>
      <c r="AG10" s="267">
        <f t="shared" si="11"/>
        <v>0</v>
      </c>
    </row>
    <row r="11" spans="1:33" ht="16.899999999999999" customHeight="1" outlineLevel="2">
      <c r="A11" s="193" t="s">
        <v>26</v>
      </c>
      <c r="B11" s="193" t="s">
        <v>27</v>
      </c>
      <c r="C11" s="193" t="s">
        <v>28</v>
      </c>
      <c r="D11" s="193" t="s">
        <v>41</v>
      </c>
      <c r="E11" s="193" t="s">
        <v>41</v>
      </c>
      <c r="F11" s="193" t="s">
        <v>42</v>
      </c>
      <c r="G11" s="235">
        <v>32117</v>
      </c>
      <c r="H11" s="235">
        <v>1282.5900000000001</v>
      </c>
      <c r="I11" s="235">
        <v>147.91</v>
      </c>
      <c r="J11" s="235">
        <v>32117</v>
      </c>
      <c r="K11" s="235">
        <v>5000</v>
      </c>
      <c r="L11" s="235">
        <v>5000</v>
      </c>
      <c r="M11" s="235">
        <v>10000</v>
      </c>
      <c r="N11" s="235">
        <v>10000</v>
      </c>
      <c r="O11" s="235">
        <v>2117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35">
        <v>0</v>
      </c>
      <c r="V11" s="267">
        <f t="shared" si="0"/>
        <v>32117</v>
      </c>
      <c r="W11" s="267">
        <f t="shared" si="1"/>
        <v>0</v>
      </c>
      <c r="X11" s="267">
        <f t="shared" si="2"/>
        <v>0</v>
      </c>
      <c r="Y11" s="267" t="e">
        <f t="shared" si="3"/>
        <v>#DIV/0!</v>
      </c>
      <c r="Z11" s="113" t="str">
        <f t="shared" si="4"/>
        <v/>
      </c>
      <c r="AA11" s="113" t="str">
        <f t="shared" si="5"/>
        <v/>
      </c>
      <c r="AB11" s="267">
        <f t="shared" si="6"/>
        <v>0</v>
      </c>
      <c r="AC11" s="267">
        <f t="shared" si="7"/>
        <v>0</v>
      </c>
      <c r="AD11" s="267" t="e">
        <f t="shared" si="8"/>
        <v>#DIV/0!</v>
      </c>
      <c r="AE11" s="113" t="str">
        <f t="shared" si="9"/>
        <v/>
      </c>
      <c r="AF11" s="113" t="str">
        <f t="shared" si="10"/>
        <v/>
      </c>
      <c r="AG11" s="267">
        <f t="shared" si="11"/>
        <v>0</v>
      </c>
    </row>
    <row r="12" spans="1:33" ht="16.899999999999999" customHeight="1" outlineLevel="2">
      <c r="A12" s="193" t="s">
        <v>26</v>
      </c>
      <c r="B12" s="193" t="s">
        <v>27</v>
      </c>
      <c r="C12" s="193" t="s">
        <v>28</v>
      </c>
      <c r="D12" s="193" t="s">
        <v>43</v>
      </c>
      <c r="E12" s="193" t="s">
        <v>43</v>
      </c>
      <c r="F12" s="193" t="s">
        <v>44</v>
      </c>
      <c r="G12" s="235">
        <v>11378</v>
      </c>
      <c r="H12" s="235">
        <v>1282.5900000000001</v>
      </c>
      <c r="I12" s="235">
        <v>147.91</v>
      </c>
      <c r="J12" s="235">
        <v>11378</v>
      </c>
      <c r="K12" s="235">
        <v>5000</v>
      </c>
      <c r="L12" s="235">
        <v>5000</v>
      </c>
      <c r="M12" s="235">
        <v>1378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  <c r="U12" s="235">
        <v>0</v>
      </c>
      <c r="V12" s="267">
        <f t="shared" si="0"/>
        <v>11378</v>
      </c>
      <c r="W12" s="267">
        <f t="shared" si="1"/>
        <v>0</v>
      </c>
      <c r="X12" s="267">
        <f t="shared" si="2"/>
        <v>0</v>
      </c>
      <c r="Y12" s="267" t="e">
        <f t="shared" si="3"/>
        <v>#DIV/0!</v>
      </c>
      <c r="Z12" s="113" t="str">
        <f t="shared" si="4"/>
        <v/>
      </c>
      <c r="AA12" s="113" t="str">
        <f t="shared" si="5"/>
        <v/>
      </c>
      <c r="AB12" s="267">
        <f t="shared" si="6"/>
        <v>0</v>
      </c>
      <c r="AC12" s="267">
        <f t="shared" si="7"/>
        <v>0</v>
      </c>
      <c r="AD12" s="267" t="e">
        <f t="shared" si="8"/>
        <v>#DIV/0!</v>
      </c>
      <c r="AE12" s="113" t="str">
        <f t="shared" si="9"/>
        <v/>
      </c>
      <c r="AF12" s="113" t="str">
        <f t="shared" si="10"/>
        <v/>
      </c>
      <c r="AG12" s="267">
        <f t="shared" si="11"/>
        <v>0</v>
      </c>
    </row>
    <row r="13" spans="1:33" ht="16.899999999999999" customHeight="1" outlineLevel="1">
      <c r="C13" s="193" t="s">
        <v>263</v>
      </c>
      <c r="G13" s="235">
        <f>SUBTOTAL(9,G5:G12)</f>
        <v>328129</v>
      </c>
      <c r="H13" s="235"/>
      <c r="I13" s="235"/>
      <c r="J13" s="235">
        <f t="shared" ref="J13:Y13" si="12">SUBTOTAL(9,J5:J12)</f>
        <v>328129</v>
      </c>
      <c r="K13" s="235">
        <f t="shared" si="12"/>
        <v>40000</v>
      </c>
      <c r="L13" s="235">
        <f t="shared" si="12"/>
        <v>40000</v>
      </c>
      <c r="M13" s="235">
        <f t="shared" si="12"/>
        <v>71378</v>
      </c>
      <c r="N13" s="235">
        <f t="shared" si="12"/>
        <v>70000</v>
      </c>
      <c r="O13" s="235">
        <f t="shared" si="12"/>
        <v>44615</v>
      </c>
      <c r="P13" s="235">
        <f t="shared" si="12"/>
        <v>31166</v>
      </c>
      <c r="Q13" s="235">
        <f t="shared" si="12"/>
        <v>13969</v>
      </c>
      <c r="R13" s="235">
        <f t="shared" si="12"/>
        <v>17001</v>
      </c>
      <c r="S13" s="235">
        <f t="shared" si="12"/>
        <v>0</v>
      </c>
      <c r="T13" s="235">
        <f t="shared" si="12"/>
        <v>0</v>
      </c>
      <c r="U13" s="235">
        <f t="shared" si="12"/>
        <v>0</v>
      </c>
      <c r="V13" s="267">
        <f t="shared" si="12"/>
        <v>328129</v>
      </c>
      <c r="W13" s="267">
        <f t="shared" si="12"/>
        <v>0</v>
      </c>
      <c r="X13" s="267">
        <f t="shared" si="12"/>
        <v>0</v>
      </c>
      <c r="Y13" s="267" t="e">
        <f t="shared" si="12"/>
        <v>#DIV/0!</v>
      </c>
      <c r="Z13" s="235"/>
      <c r="AA13" s="235"/>
      <c r="AB13" s="267">
        <f>SUBTOTAL(9,AB5:AB12)</f>
        <v>0</v>
      </c>
      <c r="AC13" s="267">
        <f>SUBTOTAL(9,AC5:AC12)</f>
        <v>0</v>
      </c>
      <c r="AD13" s="267" t="e">
        <f>SUBTOTAL(9,AD5:AD12)</f>
        <v>#DIV/0!</v>
      </c>
      <c r="AE13" s="235"/>
      <c r="AF13" s="235"/>
      <c r="AG13" s="267">
        <f>SUBTOTAL(9,AG5:AG12)</f>
        <v>0</v>
      </c>
    </row>
    <row r="14" spans="1:33" ht="16.899999999999999" customHeight="1" outlineLevel="2">
      <c r="A14" s="193" t="s">
        <v>26</v>
      </c>
      <c r="B14" s="193" t="s">
        <v>45</v>
      </c>
      <c r="C14" s="193" t="s">
        <v>46</v>
      </c>
      <c r="D14" s="193" t="s">
        <v>47</v>
      </c>
      <c r="E14" s="193" t="s">
        <v>47</v>
      </c>
      <c r="F14" s="193" t="s">
        <v>48</v>
      </c>
      <c r="G14" s="235">
        <v>101244</v>
      </c>
      <c r="H14" s="235">
        <v>1345.0100000000002</v>
      </c>
      <c r="I14" s="235">
        <v>149.49</v>
      </c>
      <c r="J14" s="235">
        <v>101244</v>
      </c>
      <c r="K14" s="235">
        <v>5000</v>
      </c>
      <c r="L14" s="235">
        <v>5000</v>
      </c>
      <c r="M14" s="235">
        <v>10000</v>
      </c>
      <c r="N14" s="235">
        <v>10000</v>
      </c>
      <c r="O14" s="235">
        <v>10000</v>
      </c>
      <c r="P14" s="235">
        <v>10000</v>
      </c>
      <c r="Q14" s="235">
        <v>10000</v>
      </c>
      <c r="R14" s="235">
        <v>30000</v>
      </c>
      <c r="S14" s="235">
        <v>11244</v>
      </c>
      <c r="T14" s="235">
        <v>0</v>
      </c>
      <c r="U14" s="235">
        <v>0</v>
      </c>
      <c r="V14" s="267">
        <f t="shared" si="0"/>
        <v>101244</v>
      </c>
      <c r="W14" s="267">
        <f t="shared" si="1"/>
        <v>0</v>
      </c>
      <c r="X14" s="267">
        <f t="shared" si="2"/>
        <v>0</v>
      </c>
      <c r="Y14" s="267" t="e">
        <f t="shared" si="3"/>
        <v>#DIV/0!</v>
      </c>
      <c r="Z14" s="113" t="str">
        <f t="shared" ref="Z14:Z19" si="13">IFERROR(Y14/V14,"")</f>
        <v/>
      </c>
      <c r="AA14" s="113" t="str">
        <f t="shared" ref="AA14:AA19" si="14">INDEX(Z$5:Z$99,MATCH($D14,$E$5:$E$99,0))</f>
        <v/>
      </c>
      <c r="AB14" s="267">
        <f t="shared" si="6"/>
        <v>0</v>
      </c>
      <c r="AC14" s="267">
        <f t="shared" si="7"/>
        <v>0</v>
      </c>
      <c r="AD14" s="267" t="e">
        <f t="shared" si="8"/>
        <v>#DIV/0!</v>
      </c>
      <c r="AE14" s="113" t="str">
        <f t="shared" ref="AE14:AE19" si="15">IFERROR(AD14/V14,"")</f>
        <v/>
      </c>
      <c r="AF14" s="113" t="str">
        <f t="shared" ref="AF14:AF19" si="16">INDEX(AE$5:AE$99,MATCH($D14,E$5:E$99,0))</f>
        <v/>
      </c>
      <c r="AG14" s="267">
        <f t="shared" si="11"/>
        <v>0</v>
      </c>
    </row>
    <row r="15" spans="1:33" ht="16.899999999999999" customHeight="1" outlineLevel="2">
      <c r="A15" s="193" t="s">
        <v>26</v>
      </c>
      <c r="B15" s="193" t="s">
        <v>45</v>
      </c>
      <c r="C15" s="193" t="s">
        <v>46</v>
      </c>
      <c r="D15" s="193" t="s">
        <v>49</v>
      </c>
      <c r="E15" s="193" t="s">
        <v>49</v>
      </c>
      <c r="F15" s="193" t="s">
        <v>50</v>
      </c>
      <c r="G15" s="235">
        <v>69632</v>
      </c>
      <c r="H15" s="235">
        <v>1345.0100000000002</v>
      </c>
      <c r="I15" s="235">
        <v>149.49</v>
      </c>
      <c r="J15" s="235">
        <v>69632</v>
      </c>
      <c r="K15" s="235">
        <v>5000</v>
      </c>
      <c r="L15" s="235">
        <v>5000</v>
      </c>
      <c r="M15" s="235">
        <v>10000</v>
      </c>
      <c r="N15" s="235">
        <v>10000</v>
      </c>
      <c r="O15" s="235">
        <v>10000</v>
      </c>
      <c r="P15" s="235">
        <v>10000</v>
      </c>
      <c r="Q15" s="235">
        <v>10000</v>
      </c>
      <c r="R15" s="235">
        <v>9632</v>
      </c>
      <c r="S15" s="235">
        <v>0</v>
      </c>
      <c r="T15" s="235">
        <v>0</v>
      </c>
      <c r="U15" s="235">
        <v>0</v>
      </c>
      <c r="V15" s="267">
        <f t="shared" si="0"/>
        <v>69632</v>
      </c>
      <c r="W15" s="267">
        <f t="shared" si="1"/>
        <v>0</v>
      </c>
      <c r="X15" s="267">
        <f t="shared" si="2"/>
        <v>0</v>
      </c>
      <c r="Y15" s="267" t="e">
        <f t="shared" si="3"/>
        <v>#DIV/0!</v>
      </c>
      <c r="Z15" s="113" t="str">
        <f t="shared" si="13"/>
        <v/>
      </c>
      <c r="AA15" s="113" t="str">
        <f t="shared" si="14"/>
        <v/>
      </c>
      <c r="AB15" s="267">
        <f t="shared" si="6"/>
        <v>0</v>
      </c>
      <c r="AC15" s="267">
        <f t="shared" si="7"/>
        <v>0</v>
      </c>
      <c r="AD15" s="267" t="e">
        <f t="shared" si="8"/>
        <v>#DIV/0!</v>
      </c>
      <c r="AE15" s="113" t="str">
        <f t="shared" si="15"/>
        <v/>
      </c>
      <c r="AF15" s="113" t="str">
        <f t="shared" si="16"/>
        <v/>
      </c>
      <c r="AG15" s="267">
        <f t="shared" si="11"/>
        <v>0</v>
      </c>
    </row>
    <row r="16" spans="1:33" ht="16.899999999999999" customHeight="1" outlineLevel="2">
      <c r="A16" s="193" t="s">
        <v>26</v>
      </c>
      <c r="B16" s="193" t="s">
        <v>45</v>
      </c>
      <c r="C16" s="193" t="s">
        <v>46</v>
      </c>
      <c r="D16" s="193" t="s">
        <v>51</v>
      </c>
      <c r="E16" s="193" t="s">
        <v>51</v>
      </c>
      <c r="F16" s="193" t="s">
        <v>52</v>
      </c>
      <c r="G16" s="235">
        <v>47426</v>
      </c>
      <c r="H16" s="235">
        <v>1345.0100000000002</v>
      </c>
      <c r="I16" s="235">
        <v>149.49</v>
      </c>
      <c r="J16" s="235">
        <v>47426</v>
      </c>
      <c r="K16" s="235">
        <v>5000</v>
      </c>
      <c r="L16" s="235">
        <v>5000</v>
      </c>
      <c r="M16" s="235">
        <v>10000</v>
      </c>
      <c r="N16" s="235">
        <v>10000</v>
      </c>
      <c r="O16" s="235">
        <v>10000</v>
      </c>
      <c r="P16" s="235">
        <v>7426</v>
      </c>
      <c r="Q16" s="235">
        <v>0</v>
      </c>
      <c r="R16" s="235">
        <v>0</v>
      </c>
      <c r="S16" s="235">
        <v>0</v>
      </c>
      <c r="T16" s="235">
        <v>0</v>
      </c>
      <c r="U16" s="235">
        <v>0</v>
      </c>
      <c r="V16" s="267">
        <f t="shared" si="0"/>
        <v>47426</v>
      </c>
      <c r="W16" s="267">
        <f t="shared" si="1"/>
        <v>0</v>
      </c>
      <c r="X16" s="267">
        <f t="shared" si="2"/>
        <v>0</v>
      </c>
      <c r="Y16" s="267" t="e">
        <f t="shared" si="3"/>
        <v>#DIV/0!</v>
      </c>
      <c r="Z16" s="113" t="str">
        <f t="shared" si="13"/>
        <v/>
      </c>
      <c r="AA16" s="113" t="str">
        <f t="shared" si="14"/>
        <v/>
      </c>
      <c r="AB16" s="267">
        <f t="shared" si="6"/>
        <v>0</v>
      </c>
      <c r="AC16" s="267">
        <f t="shared" si="7"/>
        <v>0</v>
      </c>
      <c r="AD16" s="267" t="e">
        <f t="shared" si="8"/>
        <v>#DIV/0!</v>
      </c>
      <c r="AE16" s="113" t="str">
        <f t="shared" si="15"/>
        <v/>
      </c>
      <c r="AF16" s="113" t="str">
        <f t="shared" si="16"/>
        <v/>
      </c>
      <c r="AG16" s="267">
        <f t="shared" si="11"/>
        <v>0</v>
      </c>
    </row>
    <row r="17" spans="1:33" ht="16.899999999999999" customHeight="1" outlineLevel="2">
      <c r="A17" s="193" t="s">
        <v>26</v>
      </c>
      <c r="B17" s="193" t="s">
        <v>45</v>
      </c>
      <c r="C17" s="193" t="s">
        <v>46</v>
      </c>
      <c r="D17" s="193" t="s">
        <v>53</v>
      </c>
      <c r="E17" s="193" t="s">
        <v>53</v>
      </c>
      <c r="F17" s="193" t="s">
        <v>54</v>
      </c>
      <c r="G17" s="235">
        <v>82479</v>
      </c>
      <c r="H17" s="235">
        <v>1345.0100000000002</v>
      </c>
      <c r="I17" s="235">
        <v>149.49</v>
      </c>
      <c r="J17" s="235">
        <v>82479</v>
      </c>
      <c r="K17" s="235">
        <v>5000</v>
      </c>
      <c r="L17" s="235">
        <v>5000</v>
      </c>
      <c r="M17" s="235">
        <v>10000</v>
      </c>
      <c r="N17" s="235">
        <v>10000</v>
      </c>
      <c r="O17" s="235">
        <v>10000</v>
      </c>
      <c r="P17" s="235">
        <v>10000</v>
      </c>
      <c r="Q17" s="235">
        <v>10000</v>
      </c>
      <c r="R17" s="235">
        <v>22479</v>
      </c>
      <c r="S17" s="235">
        <v>0</v>
      </c>
      <c r="T17" s="235">
        <v>0</v>
      </c>
      <c r="U17" s="235">
        <v>0</v>
      </c>
      <c r="V17" s="267">
        <f t="shared" si="0"/>
        <v>82479</v>
      </c>
      <c r="W17" s="267">
        <f t="shared" si="1"/>
        <v>0</v>
      </c>
      <c r="X17" s="267">
        <f t="shared" si="2"/>
        <v>0</v>
      </c>
      <c r="Y17" s="267" t="e">
        <f t="shared" si="3"/>
        <v>#DIV/0!</v>
      </c>
      <c r="Z17" s="113" t="str">
        <f t="shared" si="13"/>
        <v/>
      </c>
      <c r="AA17" s="113" t="str">
        <f t="shared" si="14"/>
        <v/>
      </c>
      <c r="AB17" s="267">
        <f t="shared" si="6"/>
        <v>0</v>
      </c>
      <c r="AC17" s="267">
        <f t="shared" si="7"/>
        <v>0</v>
      </c>
      <c r="AD17" s="267" t="e">
        <f t="shared" si="8"/>
        <v>#DIV/0!</v>
      </c>
      <c r="AE17" s="113" t="str">
        <f t="shared" si="15"/>
        <v/>
      </c>
      <c r="AF17" s="113" t="str">
        <f t="shared" si="16"/>
        <v/>
      </c>
      <c r="AG17" s="267">
        <f t="shared" si="11"/>
        <v>0</v>
      </c>
    </row>
    <row r="18" spans="1:33" ht="16.899999999999999" customHeight="1" outlineLevel="2">
      <c r="A18" s="193" t="s">
        <v>26</v>
      </c>
      <c r="B18" s="193" t="s">
        <v>45</v>
      </c>
      <c r="C18" s="193" t="s">
        <v>46</v>
      </c>
      <c r="D18" s="193" t="s">
        <v>55</v>
      </c>
      <c r="E18" s="193" t="s">
        <v>55</v>
      </c>
      <c r="F18" s="193" t="s">
        <v>56</v>
      </c>
      <c r="G18" s="235">
        <v>53723</v>
      </c>
      <c r="H18" s="235">
        <v>1345.0100000000002</v>
      </c>
      <c r="I18" s="235">
        <v>149.49</v>
      </c>
      <c r="J18" s="235">
        <v>53723</v>
      </c>
      <c r="K18" s="235">
        <v>5000</v>
      </c>
      <c r="L18" s="235">
        <v>5000</v>
      </c>
      <c r="M18" s="235">
        <v>10000</v>
      </c>
      <c r="N18" s="235">
        <v>10000</v>
      </c>
      <c r="O18" s="235">
        <v>10000</v>
      </c>
      <c r="P18" s="235">
        <v>10000</v>
      </c>
      <c r="Q18" s="235">
        <v>3723</v>
      </c>
      <c r="R18" s="235">
        <v>0</v>
      </c>
      <c r="S18" s="235">
        <v>0</v>
      </c>
      <c r="T18" s="235">
        <v>0</v>
      </c>
      <c r="U18" s="235">
        <v>0</v>
      </c>
      <c r="V18" s="267">
        <f t="shared" si="0"/>
        <v>53723</v>
      </c>
      <c r="W18" s="267">
        <f t="shared" si="1"/>
        <v>0</v>
      </c>
      <c r="X18" s="267">
        <f t="shared" si="2"/>
        <v>0</v>
      </c>
      <c r="Y18" s="267" t="e">
        <f t="shared" si="3"/>
        <v>#DIV/0!</v>
      </c>
      <c r="Z18" s="113" t="str">
        <f t="shared" si="13"/>
        <v/>
      </c>
      <c r="AA18" s="113" t="str">
        <f t="shared" si="14"/>
        <v/>
      </c>
      <c r="AB18" s="267">
        <f t="shared" si="6"/>
        <v>0</v>
      </c>
      <c r="AC18" s="267">
        <f t="shared" si="7"/>
        <v>0</v>
      </c>
      <c r="AD18" s="267" t="e">
        <f t="shared" si="8"/>
        <v>#DIV/0!</v>
      </c>
      <c r="AE18" s="113" t="str">
        <f t="shared" si="15"/>
        <v/>
      </c>
      <c r="AF18" s="113" t="str">
        <f t="shared" si="16"/>
        <v/>
      </c>
      <c r="AG18" s="267">
        <f t="shared" si="11"/>
        <v>0</v>
      </c>
    </row>
    <row r="19" spans="1:33" ht="16.899999999999999" customHeight="1" outlineLevel="2">
      <c r="A19" s="193" t="s">
        <v>26</v>
      </c>
      <c r="B19" s="193" t="s">
        <v>45</v>
      </c>
      <c r="C19" s="193" t="s">
        <v>46</v>
      </c>
      <c r="D19" s="193" t="s">
        <v>57</v>
      </c>
      <c r="E19" s="193" t="s">
        <v>57</v>
      </c>
      <c r="F19" s="193" t="s">
        <v>58</v>
      </c>
      <c r="G19" s="235">
        <v>28992</v>
      </c>
      <c r="H19" s="235">
        <v>1345.0100000000002</v>
      </c>
      <c r="I19" s="235">
        <v>149.49</v>
      </c>
      <c r="J19" s="235">
        <v>28992</v>
      </c>
      <c r="K19" s="235">
        <v>5000</v>
      </c>
      <c r="L19" s="235">
        <v>5000</v>
      </c>
      <c r="M19" s="235">
        <v>10000</v>
      </c>
      <c r="N19" s="235">
        <v>8992</v>
      </c>
      <c r="O19" s="235">
        <v>0</v>
      </c>
      <c r="P19" s="235">
        <v>0</v>
      </c>
      <c r="Q19" s="235">
        <v>0</v>
      </c>
      <c r="R19" s="235">
        <v>0</v>
      </c>
      <c r="S19" s="235">
        <v>0</v>
      </c>
      <c r="T19" s="235">
        <v>0</v>
      </c>
      <c r="U19" s="235">
        <v>0</v>
      </c>
      <c r="V19" s="267">
        <f t="shared" si="0"/>
        <v>28992</v>
      </c>
      <c r="W19" s="267">
        <f t="shared" si="1"/>
        <v>0</v>
      </c>
      <c r="X19" s="267">
        <f t="shared" si="2"/>
        <v>0</v>
      </c>
      <c r="Y19" s="267" t="e">
        <f t="shared" si="3"/>
        <v>#DIV/0!</v>
      </c>
      <c r="Z19" s="113" t="str">
        <f t="shared" si="13"/>
        <v/>
      </c>
      <c r="AA19" s="113" t="str">
        <f t="shared" si="14"/>
        <v/>
      </c>
      <c r="AB19" s="267">
        <f t="shared" si="6"/>
        <v>0</v>
      </c>
      <c r="AC19" s="267">
        <f t="shared" si="7"/>
        <v>0</v>
      </c>
      <c r="AD19" s="267" t="e">
        <f t="shared" si="8"/>
        <v>#DIV/0!</v>
      </c>
      <c r="AE19" s="113" t="str">
        <f t="shared" si="15"/>
        <v/>
      </c>
      <c r="AF19" s="113" t="str">
        <f t="shared" si="16"/>
        <v/>
      </c>
      <c r="AG19" s="267">
        <f t="shared" si="11"/>
        <v>0</v>
      </c>
    </row>
    <row r="20" spans="1:33" ht="16.899999999999999" customHeight="1" outlineLevel="1">
      <c r="C20" s="193" t="s">
        <v>264</v>
      </c>
      <c r="G20" s="235">
        <f>SUBTOTAL(9,G14:G19)</f>
        <v>383496</v>
      </c>
      <c r="H20" s="235"/>
      <c r="I20" s="235"/>
      <c r="J20" s="235">
        <f t="shared" ref="J20:Y20" si="17">SUBTOTAL(9,J14:J19)</f>
        <v>383496</v>
      </c>
      <c r="K20" s="235">
        <f t="shared" si="17"/>
        <v>30000</v>
      </c>
      <c r="L20" s="235">
        <f t="shared" si="17"/>
        <v>30000</v>
      </c>
      <c r="M20" s="235">
        <f t="shared" si="17"/>
        <v>60000</v>
      </c>
      <c r="N20" s="235">
        <f t="shared" si="17"/>
        <v>58992</v>
      </c>
      <c r="O20" s="235">
        <f t="shared" si="17"/>
        <v>50000</v>
      </c>
      <c r="P20" s="235">
        <f t="shared" si="17"/>
        <v>47426</v>
      </c>
      <c r="Q20" s="235">
        <f t="shared" si="17"/>
        <v>33723</v>
      </c>
      <c r="R20" s="235">
        <f t="shared" si="17"/>
        <v>62111</v>
      </c>
      <c r="S20" s="235">
        <f t="shared" si="17"/>
        <v>11244</v>
      </c>
      <c r="T20" s="235">
        <f t="shared" si="17"/>
        <v>0</v>
      </c>
      <c r="U20" s="235">
        <f t="shared" si="17"/>
        <v>0</v>
      </c>
      <c r="V20" s="267">
        <f t="shared" si="17"/>
        <v>383496</v>
      </c>
      <c r="W20" s="267">
        <f t="shared" si="17"/>
        <v>0</v>
      </c>
      <c r="X20" s="267">
        <f t="shared" si="17"/>
        <v>0</v>
      </c>
      <c r="Y20" s="267" t="e">
        <f t="shared" si="17"/>
        <v>#DIV/0!</v>
      </c>
      <c r="Z20" s="235"/>
      <c r="AA20" s="235"/>
      <c r="AB20" s="267">
        <f>SUBTOTAL(9,AB14:AB19)</f>
        <v>0</v>
      </c>
      <c r="AC20" s="267">
        <f>SUBTOTAL(9,AC14:AC19)</f>
        <v>0</v>
      </c>
      <c r="AD20" s="267" t="e">
        <f>SUBTOTAL(9,AD14:AD19)</f>
        <v>#DIV/0!</v>
      </c>
      <c r="AE20" s="235"/>
      <c r="AF20" s="235"/>
      <c r="AG20" s="267">
        <f>SUBTOTAL(9,AG14:AG19)</f>
        <v>0</v>
      </c>
    </row>
    <row r="21" spans="1:33" ht="16.899999999999999" customHeight="1" outlineLevel="2">
      <c r="A21" s="193" t="s">
        <v>26</v>
      </c>
      <c r="B21" s="193" t="s">
        <v>59</v>
      </c>
      <c r="C21" s="193" t="s">
        <v>60</v>
      </c>
      <c r="D21" s="193" t="s">
        <v>61</v>
      </c>
      <c r="E21" s="193" t="s">
        <v>61</v>
      </c>
      <c r="F21" s="193" t="s">
        <v>62</v>
      </c>
      <c r="G21" s="235">
        <v>259303</v>
      </c>
      <c r="H21" s="235">
        <v>1327.29</v>
      </c>
      <c r="I21" s="235">
        <v>149.52000000000001</v>
      </c>
      <c r="J21" s="235">
        <v>259303</v>
      </c>
      <c r="K21" s="235">
        <v>5000</v>
      </c>
      <c r="L21" s="235">
        <v>5000</v>
      </c>
      <c r="M21" s="235">
        <v>10000</v>
      </c>
      <c r="N21" s="235">
        <v>10000</v>
      </c>
      <c r="O21" s="235">
        <v>10000</v>
      </c>
      <c r="P21" s="235">
        <v>10000</v>
      </c>
      <c r="Q21" s="235">
        <v>10000</v>
      </c>
      <c r="R21" s="235">
        <v>30000</v>
      </c>
      <c r="S21" s="235">
        <v>30000</v>
      </c>
      <c r="T21" s="235">
        <v>30000</v>
      </c>
      <c r="U21" s="235">
        <v>109303</v>
      </c>
      <c r="V21" s="267">
        <f t="shared" ref="V21:V88" si="18">SUM(K21:U21)</f>
        <v>259303</v>
      </c>
      <c r="W21" s="267">
        <f t="shared" ref="W21:W88" si="19">SUMPRODUCT($K$3:$U$3,$K21:$U21)</f>
        <v>0</v>
      </c>
      <c r="X21" s="267">
        <f t="shared" ref="X21:X88" si="20">ROUND(W21*H21,2)</f>
        <v>0</v>
      </c>
      <c r="Y21" s="267" t="e">
        <f t="shared" si="3"/>
        <v>#DIV/0!</v>
      </c>
      <c r="Z21" s="113" t="str">
        <f t="shared" ref="Z21:Z41" si="21">IFERROR(Y21/V21,"")</f>
        <v/>
      </c>
      <c r="AA21" s="113" t="str">
        <f t="shared" ref="AA21:AA41" si="22">INDEX(Z$5:Z$99,MATCH($D21,$E$5:$E$99,0))</f>
        <v/>
      </c>
      <c r="AB21" s="267">
        <f t="shared" si="6"/>
        <v>0</v>
      </c>
      <c r="AC21" s="267">
        <f t="shared" ref="AC21:AC88" si="23">ROUND(W21*I21,2)</f>
        <v>0</v>
      </c>
      <c r="AD21" s="267" t="e">
        <f t="shared" si="8"/>
        <v>#DIV/0!</v>
      </c>
      <c r="AE21" s="113" t="str">
        <f t="shared" ref="AE21:AE41" si="24">IFERROR(AD21/V21,"")</f>
        <v/>
      </c>
      <c r="AF21" s="113" t="str">
        <f t="shared" ref="AF21:AF41" si="25">INDEX(AE$5:AE$99,MATCH($D21,E$5:E$99,0))</f>
        <v/>
      </c>
      <c r="AG21" s="267">
        <f t="shared" si="11"/>
        <v>0</v>
      </c>
    </row>
    <row r="22" spans="1:33" ht="16.899999999999999" customHeight="1" outlineLevel="2">
      <c r="A22" s="193" t="s">
        <v>26</v>
      </c>
      <c r="B22" s="193" t="s">
        <v>59</v>
      </c>
      <c r="C22" s="193" t="s">
        <v>60</v>
      </c>
      <c r="D22" s="193" t="s">
        <v>63</v>
      </c>
      <c r="E22" s="193" t="s">
        <v>63</v>
      </c>
      <c r="F22" s="193" t="s">
        <v>64</v>
      </c>
      <c r="G22" s="235">
        <v>51596</v>
      </c>
      <c r="H22" s="235">
        <v>1327.29</v>
      </c>
      <c r="I22" s="235">
        <v>149.52000000000001</v>
      </c>
      <c r="J22" s="235">
        <v>51596</v>
      </c>
      <c r="K22" s="235">
        <v>5000</v>
      </c>
      <c r="L22" s="235">
        <v>5000</v>
      </c>
      <c r="M22" s="235">
        <v>10000</v>
      </c>
      <c r="N22" s="235">
        <v>10000</v>
      </c>
      <c r="O22" s="235">
        <v>10000</v>
      </c>
      <c r="P22" s="235">
        <v>10000</v>
      </c>
      <c r="Q22" s="235">
        <v>1596</v>
      </c>
      <c r="R22" s="235">
        <v>0</v>
      </c>
      <c r="S22" s="235">
        <v>0</v>
      </c>
      <c r="T22" s="235">
        <v>0</v>
      </c>
      <c r="U22" s="235">
        <v>0</v>
      </c>
      <c r="V22" s="267">
        <f t="shared" si="18"/>
        <v>51596</v>
      </c>
      <c r="W22" s="267">
        <f t="shared" si="19"/>
        <v>0</v>
      </c>
      <c r="X22" s="267">
        <f t="shared" si="20"/>
        <v>0</v>
      </c>
      <c r="Y22" s="267" t="e">
        <f t="shared" ref="Y22:Y89" si="26">ROUND(X22*$Y$3/$X$3,2)</f>
        <v>#DIV/0!</v>
      </c>
      <c r="Z22" s="113" t="str">
        <f t="shared" si="21"/>
        <v/>
      </c>
      <c r="AA22" s="113" t="str">
        <f t="shared" si="22"/>
        <v/>
      </c>
      <c r="AB22" s="267">
        <f t="shared" ref="AB22:AB89" si="27">IFERROR(ROUND(G22*AA22,2),0)</f>
        <v>0</v>
      </c>
      <c r="AC22" s="267">
        <f t="shared" si="23"/>
        <v>0</v>
      </c>
      <c r="AD22" s="267" t="e">
        <f t="shared" ref="AD22:AD89" si="28">ROUND(AC22*$AD$3/$AC$3,2)</f>
        <v>#DIV/0!</v>
      </c>
      <c r="AE22" s="113" t="str">
        <f t="shared" si="24"/>
        <v/>
      </c>
      <c r="AF22" s="113" t="str">
        <f t="shared" si="25"/>
        <v/>
      </c>
      <c r="AG22" s="267">
        <f t="shared" ref="AG22:AG89" si="29">IFERROR(ROUND(G22*AF22,2),0)</f>
        <v>0</v>
      </c>
    </row>
    <row r="23" spans="1:33" ht="16.899999999999999" customHeight="1" outlineLevel="2">
      <c r="A23" s="193" t="s">
        <v>26</v>
      </c>
      <c r="B23" s="193" t="s">
        <v>59</v>
      </c>
      <c r="C23" s="193" t="s">
        <v>60</v>
      </c>
      <c r="D23" s="193" t="s">
        <v>65</v>
      </c>
      <c r="E23" s="193" t="s">
        <v>65</v>
      </c>
      <c r="F23" s="193" t="s">
        <v>66</v>
      </c>
      <c r="G23" s="235">
        <v>49836</v>
      </c>
      <c r="H23" s="235">
        <v>1327.29</v>
      </c>
      <c r="I23" s="235">
        <v>149.52000000000001</v>
      </c>
      <c r="J23" s="235">
        <v>49836</v>
      </c>
      <c r="K23" s="235">
        <v>5000</v>
      </c>
      <c r="L23" s="235">
        <v>5000</v>
      </c>
      <c r="M23" s="235">
        <v>10000</v>
      </c>
      <c r="N23" s="235">
        <v>10000</v>
      </c>
      <c r="O23" s="235">
        <v>10000</v>
      </c>
      <c r="P23" s="235">
        <v>9836</v>
      </c>
      <c r="Q23" s="235">
        <v>0</v>
      </c>
      <c r="R23" s="235">
        <v>0</v>
      </c>
      <c r="S23" s="235">
        <v>0</v>
      </c>
      <c r="T23" s="235">
        <v>0</v>
      </c>
      <c r="U23" s="235">
        <v>0</v>
      </c>
      <c r="V23" s="267">
        <f t="shared" si="18"/>
        <v>49836</v>
      </c>
      <c r="W23" s="267">
        <f t="shared" si="19"/>
        <v>0</v>
      </c>
      <c r="X23" s="267">
        <f t="shared" si="20"/>
        <v>0</v>
      </c>
      <c r="Y23" s="267" t="e">
        <f t="shared" si="26"/>
        <v>#DIV/0!</v>
      </c>
      <c r="Z23" s="113" t="str">
        <f t="shared" si="21"/>
        <v/>
      </c>
      <c r="AA23" s="113" t="str">
        <f t="shared" si="22"/>
        <v/>
      </c>
      <c r="AB23" s="267">
        <f t="shared" si="27"/>
        <v>0</v>
      </c>
      <c r="AC23" s="267">
        <f t="shared" si="23"/>
        <v>0</v>
      </c>
      <c r="AD23" s="267" t="e">
        <f t="shared" si="28"/>
        <v>#DIV/0!</v>
      </c>
      <c r="AE23" s="113" t="str">
        <f t="shared" si="24"/>
        <v/>
      </c>
      <c r="AF23" s="113" t="str">
        <f t="shared" si="25"/>
        <v/>
      </c>
      <c r="AG23" s="267">
        <f t="shared" si="29"/>
        <v>0</v>
      </c>
    </row>
    <row r="24" spans="1:33" ht="16.899999999999999" customHeight="1" outlineLevel="2">
      <c r="A24" s="193" t="s">
        <v>26</v>
      </c>
      <c r="B24" s="193" t="s">
        <v>59</v>
      </c>
      <c r="C24" s="193" t="s">
        <v>60</v>
      </c>
      <c r="D24" s="193" t="s">
        <v>67</v>
      </c>
      <c r="E24" s="193" t="s">
        <v>67</v>
      </c>
      <c r="F24" s="193" t="s">
        <v>68</v>
      </c>
      <c r="G24" s="235">
        <v>84429</v>
      </c>
      <c r="H24" s="235">
        <v>1327.29</v>
      </c>
      <c r="I24" s="235">
        <v>149.52000000000001</v>
      </c>
      <c r="J24" s="235">
        <v>84429</v>
      </c>
      <c r="K24" s="235">
        <v>5000</v>
      </c>
      <c r="L24" s="235">
        <v>5000</v>
      </c>
      <c r="M24" s="235">
        <v>10000</v>
      </c>
      <c r="N24" s="235">
        <v>10000</v>
      </c>
      <c r="O24" s="235">
        <v>10000</v>
      </c>
      <c r="P24" s="235">
        <v>10000</v>
      </c>
      <c r="Q24" s="235">
        <v>10000</v>
      </c>
      <c r="R24" s="235">
        <v>24429</v>
      </c>
      <c r="S24" s="235">
        <v>0</v>
      </c>
      <c r="T24" s="235">
        <v>0</v>
      </c>
      <c r="U24" s="235">
        <v>0</v>
      </c>
      <c r="V24" s="267">
        <f t="shared" si="18"/>
        <v>84429</v>
      </c>
      <c r="W24" s="267">
        <f t="shared" si="19"/>
        <v>0</v>
      </c>
      <c r="X24" s="267">
        <f t="shared" si="20"/>
        <v>0</v>
      </c>
      <c r="Y24" s="267" t="e">
        <f t="shared" si="26"/>
        <v>#DIV/0!</v>
      </c>
      <c r="Z24" s="113" t="str">
        <f t="shared" si="21"/>
        <v/>
      </c>
      <c r="AA24" s="113" t="str">
        <f t="shared" si="22"/>
        <v/>
      </c>
      <c r="AB24" s="267">
        <f t="shared" si="27"/>
        <v>0</v>
      </c>
      <c r="AC24" s="267">
        <f t="shared" si="23"/>
        <v>0</v>
      </c>
      <c r="AD24" s="267" t="e">
        <f t="shared" si="28"/>
        <v>#DIV/0!</v>
      </c>
      <c r="AE24" s="113" t="str">
        <f t="shared" si="24"/>
        <v/>
      </c>
      <c r="AF24" s="113" t="str">
        <f t="shared" si="25"/>
        <v/>
      </c>
      <c r="AG24" s="267">
        <f t="shared" si="29"/>
        <v>0</v>
      </c>
    </row>
    <row r="25" spans="1:33" ht="16.899999999999999" customHeight="1" outlineLevel="2">
      <c r="A25" s="193" t="s">
        <v>26</v>
      </c>
      <c r="B25" s="193" t="s">
        <v>59</v>
      </c>
      <c r="C25" s="193" t="s">
        <v>60</v>
      </c>
      <c r="D25" s="193" t="s">
        <v>69</v>
      </c>
      <c r="E25" s="193" t="s">
        <v>69</v>
      </c>
      <c r="F25" s="193" t="s">
        <v>70</v>
      </c>
      <c r="G25" s="235">
        <v>4065</v>
      </c>
      <c r="H25" s="235">
        <v>1327.29</v>
      </c>
      <c r="I25" s="235">
        <v>149.52000000000001</v>
      </c>
      <c r="J25" s="235">
        <v>4065</v>
      </c>
      <c r="K25" s="235">
        <v>4065</v>
      </c>
      <c r="L25" s="235">
        <v>0</v>
      </c>
      <c r="M25" s="235">
        <v>0</v>
      </c>
      <c r="N25" s="235">
        <v>0</v>
      </c>
      <c r="O25" s="235">
        <v>0</v>
      </c>
      <c r="P25" s="235">
        <v>0</v>
      </c>
      <c r="Q25" s="235">
        <v>0</v>
      </c>
      <c r="R25" s="235">
        <v>0</v>
      </c>
      <c r="S25" s="235">
        <v>0</v>
      </c>
      <c r="T25" s="235">
        <v>0</v>
      </c>
      <c r="U25" s="235">
        <v>0</v>
      </c>
      <c r="V25" s="267">
        <f t="shared" si="18"/>
        <v>4065</v>
      </c>
      <c r="W25" s="267">
        <f t="shared" si="19"/>
        <v>0</v>
      </c>
      <c r="X25" s="267">
        <f t="shared" si="20"/>
        <v>0</v>
      </c>
      <c r="Y25" s="267" t="e">
        <f t="shared" si="26"/>
        <v>#DIV/0!</v>
      </c>
      <c r="Z25" s="113" t="str">
        <f t="shared" si="21"/>
        <v/>
      </c>
      <c r="AA25" s="113" t="str">
        <f t="shared" si="22"/>
        <v/>
      </c>
      <c r="AB25" s="267">
        <f t="shared" si="27"/>
        <v>0</v>
      </c>
      <c r="AC25" s="267">
        <f t="shared" si="23"/>
        <v>0</v>
      </c>
      <c r="AD25" s="267" t="e">
        <f t="shared" si="28"/>
        <v>#DIV/0!</v>
      </c>
      <c r="AE25" s="113" t="str">
        <f t="shared" si="24"/>
        <v/>
      </c>
      <c r="AF25" s="113" t="str">
        <f t="shared" si="25"/>
        <v/>
      </c>
      <c r="AG25" s="267">
        <f t="shared" si="29"/>
        <v>0</v>
      </c>
    </row>
    <row r="26" spans="1:33" ht="16.899999999999999" customHeight="1" outlineLevel="2">
      <c r="A26" s="193" t="s">
        <v>26</v>
      </c>
      <c r="B26" s="193" t="s">
        <v>59</v>
      </c>
      <c r="C26" s="193" t="s">
        <v>60</v>
      </c>
      <c r="D26" s="193" t="s">
        <v>71</v>
      </c>
      <c r="E26" s="193" t="s">
        <v>71</v>
      </c>
      <c r="F26" s="193" t="s">
        <v>72</v>
      </c>
      <c r="G26" s="235">
        <v>36898</v>
      </c>
      <c r="H26" s="235">
        <v>1327.29</v>
      </c>
      <c r="I26" s="235">
        <v>149.52000000000001</v>
      </c>
      <c r="J26" s="235">
        <v>36898</v>
      </c>
      <c r="K26" s="235">
        <v>5000</v>
      </c>
      <c r="L26" s="235">
        <v>5000</v>
      </c>
      <c r="M26" s="235">
        <v>10000</v>
      </c>
      <c r="N26" s="235">
        <v>10000</v>
      </c>
      <c r="O26" s="235">
        <v>6898</v>
      </c>
      <c r="P26" s="235">
        <v>0</v>
      </c>
      <c r="Q26" s="235">
        <v>0</v>
      </c>
      <c r="R26" s="235">
        <v>0</v>
      </c>
      <c r="S26" s="235">
        <v>0</v>
      </c>
      <c r="T26" s="235">
        <v>0</v>
      </c>
      <c r="U26" s="235">
        <v>0</v>
      </c>
      <c r="V26" s="267">
        <f t="shared" si="18"/>
        <v>36898</v>
      </c>
      <c r="W26" s="267">
        <f t="shared" si="19"/>
        <v>0</v>
      </c>
      <c r="X26" s="267">
        <f t="shared" si="20"/>
        <v>0</v>
      </c>
      <c r="Y26" s="267" t="e">
        <f t="shared" si="26"/>
        <v>#DIV/0!</v>
      </c>
      <c r="Z26" s="113" t="str">
        <f t="shared" si="21"/>
        <v/>
      </c>
      <c r="AA26" s="113" t="str">
        <f t="shared" si="22"/>
        <v/>
      </c>
      <c r="AB26" s="267">
        <f t="shared" si="27"/>
        <v>0</v>
      </c>
      <c r="AC26" s="267">
        <f t="shared" si="23"/>
        <v>0</v>
      </c>
      <c r="AD26" s="267" t="e">
        <f t="shared" si="28"/>
        <v>#DIV/0!</v>
      </c>
      <c r="AE26" s="113" t="str">
        <f t="shared" si="24"/>
        <v/>
      </c>
      <c r="AF26" s="113" t="str">
        <f t="shared" si="25"/>
        <v/>
      </c>
      <c r="AG26" s="267">
        <f t="shared" si="29"/>
        <v>0</v>
      </c>
    </row>
    <row r="27" spans="1:33" ht="16.899999999999999" customHeight="1" outlineLevel="2">
      <c r="A27" s="193" t="s">
        <v>26</v>
      </c>
      <c r="B27" s="193" t="s">
        <v>59</v>
      </c>
      <c r="C27" s="193" t="s">
        <v>60</v>
      </c>
      <c r="D27" s="193" t="s">
        <v>73</v>
      </c>
      <c r="E27" s="193" t="s">
        <v>73</v>
      </c>
      <c r="F27" s="193" t="s">
        <v>74</v>
      </c>
      <c r="G27" s="235">
        <v>91589</v>
      </c>
      <c r="H27" s="235">
        <v>1327.29</v>
      </c>
      <c r="I27" s="235">
        <v>149.52000000000001</v>
      </c>
      <c r="J27" s="235">
        <v>91589</v>
      </c>
      <c r="K27" s="235">
        <v>5000</v>
      </c>
      <c r="L27" s="235">
        <v>5000</v>
      </c>
      <c r="M27" s="235">
        <v>10000</v>
      </c>
      <c r="N27" s="235">
        <v>10000</v>
      </c>
      <c r="O27" s="235">
        <v>10000</v>
      </c>
      <c r="P27" s="235">
        <v>10000</v>
      </c>
      <c r="Q27" s="235">
        <v>10000</v>
      </c>
      <c r="R27" s="235">
        <v>30000</v>
      </c>
      <c r="S27" s="235">
        <v>1589</v>
      </c>
      <c r="T27" s="235">
        <v>0</v>
      </c>
      <c r="U27" s="235">
        <v>0</v>
      </c>
      <c r="V27" s="267">
        <f t="shared" si="18"/>
        <v>91589</v>
      </c>
      <c r="W27" s="267">
        <f t="shared" si="19"/>
        <v>0</v>
      </c>
      <c r="X27" s="267">
        <f t="shared" si="20"/>
        <v>0</v>
      </c>
      <c r="Y27" s="267" t="e">
        <f t="shared" si="26"/>
        <v>#DIV/0!</v>
      </c>
      <c r="Z27" s="113" t="str">
        <f t="shared" si="21"/>
        <v/>
      </c>
      <c r="AA27" s="113" t="str">
        <f t="shared" si="22"/>
        <v/>
      </c>
      <c r="AB27" s="267">
        <f t="shared" si="27"/>
        <v>0</v>
      </c>
      <c r="AC27" s="267">
        <f t="shared" si="23"/>
        <v>0</v>
      </c>
      <c r="AD27" s="267" t="e">
        <f t="shared" si="28"/>
        <v>#DIV/0!</v>
      </c>
      <c r="AE27" s="113" t="str">
        <f t="shared" si="24"/>
        <v/>
      </c>
      <c r="AF27" s="113" t="str">
        <f t="shared" si="25"/>
        <v/>
      </c>
      <c r="AG27" s="267">
        <f t="shared" si="29"/>
        <v>0</v>
      </c>
    </row>
    <row r="28" spans="1:33" ht="16.899999999999999" customHeight="1" outlineLevel="2">
      <c r="A28" s="193" t="s">
        <v>26</v>
      </c>
      <c r="B28" s="193" t="s">
        <v>59</v>
      </c>
      <c r="C28" s="193" t="s">
        <v>60</v>
      </c>
      <c r="D28" s="193" t="s">
        <v>75</v>
      </c>
      <c r="E28" s="193" t="s">
        <v>75</v>
      </c>
      <c r="F28" s="193" t="s">
        <v>76</v>
      </c>
      <c r="G28" s="235">
        <v>25183</v>
      </c>
      <c r="H28" s="235">
        <v>1327.29</v>
      </c>
      <c r="I28" s="235">
        <v>149.52000000000001</v>
      </c>
      <c r="J28" s="235">
        <v>25183</v>
      </c>
      <c r="K28" s="235">
        <v>5000</v>
      </c>
      <c r="L28" s="235">
        <v>5000</v>
      </c>
      <c r="M28" s="235">
        <v>10000</v>
      </c>
      <c r="N28" s="235">
        <v>5183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  <c r="U28" s="235">
        <v>0</v>
      </c>
      <c r="V28" s="267">
        <f t="shared" si="18"/>
        <v>25183</v>
      </c>
      <c r="W28" s="267">
        <f t="shared" si="19"/>
        <v>0</v>
      </c>
      <c r="X28" s="267">
        <f t="shared" si="20"/>
        <v>0</v>
      </c>
      <c r="Y28" s="267" t="e">
        <f t="shared" si="26"/>
        <v>#DIV/0!</v>
      </c>
      <c r="Z28" s="113" t="str">
        <f t="shared" si="21"/>
        <v/>
      </c>
      <c r="AA28" s="113" t="str">
        <f t="shared" si="22"/>
        <v/>
      </c>
      <c r="AB28" s="267">
        <f t="shared" si="27"/>
        <v>0</v>
      </c>
      <c r="AC28" s="267">
        <f t="shared" si="23"/>
        <v>0</v>
      </c>
      <c r="AD28" s="267" t="e">
        <f t="shared" si="28"/>
        <v>#DIV/0!</v>
      </c>
      <c r="AE28" s="113" t="str">
        <f t="shared" si="24"/>
        <v/>
      </c>
      <c r="AF28" s="113" t="str">
        <f t="shared" si="25"/>
        <v/>
      </c>
      <c r="AG28" s="267">
        <f t="shared" si="29"/>
        <v>0</v>
      </c>
    </row>
    <row r="29" spans="1:33" ht="16.899999999999999" customHeight="1" outlineLevel="2">
      <c r="A29" s="193" t="s">
        <v>26</v>
      </c>
      <c r="B29" s="193" t="s">
        <v>59</v>
      </c>
      <c r="C29" s="193" t="s">
        <v>60</v>
      </c>
      <c r="D29" s="193" t="s">
        <v>77</v>
      </c>
      <c r="E29" s="193" t="s">
        <v>77</v>
      </c>
      <c r="F29" s="193" t="s">
        <v>78</v>
      </c>
      <c r="G29" s="235">
        <v>29962</v>
      </c>
      <c r="H29" s="235">
        <v>1327.29</v>
      </c>
      <c r="I29" s="235">
        <v>149.52000000000001</v>
      </c>
      <c r="J29" s="235">
        <v>29962</v>
      </c>
      <c r="K29" s="235">
        <v>5000</v>
      </c>
      <c r="L29" s="235">
        <v>5000</v>
      </c>
      <c r="M29" s="235">
        <v>10000</v>
      </c>
      <c r="N29" s="235">
        <v>9962</v>
      </c>
      <c r="O29" s="235">
        <v>0</v>
      </c>
      <c r="P29" s="235">
        <v>0</v>
      </c>
      <c r="Q29" s="235">
        <v>0</v>
      </c>
      <c r="R29" s="235">
        <v>0</v>
      </c>
      <c r="S29" s="235">
        <v>0</v>
      </c>
      <c r="T29" s="235">
        <v>0</v>
      </c>
      <c r="U29" s="235">
        <v>0</v>
      </c>
      <c r="V29" s="267">
        <f t="shared" si="18"/>
        <v>29962</v>
      </c>
      <c r="W29" s="267">
        <f t="shared" si="19"/>
        <v>0</v>
      </c>
      <c r="X29" s="267">
        <f t="shared" si="20"/>
        <v>0</v>
      </c>
      <c r="Y29" s="267" t="e">
        <f t="shared" si="26"/>
        <v>#DIV/0!</v>
      </c>
      <c r="Z29" s="113" t="str">
        <f t="shared" si="21"/>
        <v/>
      </c>
      <c r="AA29" s="113" t="str">
        <f t="shared" si="22"/>
        <v/>
      </c>
      <c r="AB29" s="267">
        <f t="shared" si="27"/>
        <v>0</v>
      </c>
      <c r="AC29" s="267">
        <f t="shared" si="23"/>
        <v>0</v>
      </c>
      <c r="AD29" s="267" t="e">
        <f t="shared" si="28"/>
        <v>#DIV/0!</v>
      </c>
      <c r="AE29" s="113" t="str">
        <f t="shared" si="24"/>
        <v/>
      </c>
      <c r="AF29" s="113" t="str">
        <f t="shared" si="25"/>
        <v/>
      </c>
      <c r="AG29" s="267">
        <f t="shared" si="29"/>
        <v>0</v>
      </c>
    </row>
    <row r="30" spans="1:33" ht="16.899999999999999" customHeight="1" outlineLevel="2">
      <c r="A30" s="193" t="s">
        <v>26</v>
      </c>
      <c r="B30" s="193" t="s">
        <v>59</v>
      </c>
      <c r="C30" s="193" t="s">
        <v>60</v>
      </c>
      <c r="D30" s="193" t="s">
        <v>79</v>
      </c>
      <c r="E30" s="193" t="s">
        <v>79</v>
      </c>
      <c r="F30" s="193" t="s">
        <v>80</v>
      </c>
      <c r="G30" s="235">
        <v>36732</v>
      </c>
      <c r="H30" s="235">
        <v>1327.29</v>
      </c>
      <c r="I30" s="235">
        <v>149.52000000000001</v>
      </c>
      <c r="J30" s="235">
        <v>36732</v>
      </c>
      <c r="K30" s="235">
        <v>5000</v>
      </c>
      <c r="L30" s="235">
        <v>5000</v>
      </c>
      <c r="M30" s="235">
        <v>10000</v>
      </c>
      <c r="N30" s="235">
        <v>10000</v>
      </c>
      <c r="O30" s="235">
        <v>6732</v>
      </c>
      <c r="P30" s="235">
        <v>0</v>
      </c>
      <c r="Q30" s="235">
        <v>0</v>
      </c>
      <c r="R30" s="235">
        <v>0</v>
      </c>
      <c r="S30" s="235">
        <v>0</v>
      </c>
      <c r="T30" s="235">
        <v>0</v>
      </c>
      <c r="U30" s="235">
        <v>0</v>
      </c>
      <c r="V30" s="267">
        <f t="shared" si="18"/>
        <v>36732</v>
      </c>
      <c r="W30" s="267">
        <f t="shared" si="19"/>
        <v>0</v>
      </c>
      <c r="X30" s="267">
        <f t="shared" si="20"/>
        <v>0</v>
      </c>
      <c r="Y30" s="267" t="e">
        <f t="shared" si="26"/>
        <v>#DIV/0!</v>
      </c>
      <c r="Z30" s="113" t="str">
        <f t="shared" si="21"/>
        <v/>
      </c>
      <c r="AA30" s="113" t="str">
        <f t="shared" si="22"/>
        <v/>
      </c>
      <c r="AB30" s="267">
        <f t="shared" si="27"/>
        <v>0</v>
      </c>
      <c r="AC30" s="267">
        <f t="shared" si="23"/>
        <v>0</v>
      </c>
      <c r="AD30" s="267" t="e">
        <f t="shared" si="28"/>
        <v>#DIV/0!</v>
      </c>
      <c r="AE30" s="113" t="str">
        <f t="shared" si="24"/>
        <v/>
      </c>
      <c r="AF30" s="113" t="str">
        <f t="shared" si="25"/>
        <v/>
      </c>
      <c r="AG30" s="267">
        <f t="shared" si="29"/>
        <v>0</v>
      </c>
    </row>
    <row r="31" spans="1:33" ht="16.899999999999999" customHeight="1" outlineLevel="2">
      <c r="A31" s="193" t="s">
        <v>26</v>
      </c>
      <c r="B31" s="193" t="s">
        <v>59</v>
      </c>
      <c r="C31" s="193" t="s">
        <v>60</v>
      </c>
      <c r="D31" s="193" t="s">
        <v>81</v>
      </c>
      <c r="E31" s="193" t="s">
        <v>81</v>
      </c>
      <c r="F31" s="193" t="s">
        <v>82</v>
      </c>
      <c r="G31" s="235">
        <v>43658</v>
      </c>
      <c r="H31" s="235">
        <v>1327.29</v>
      </c>
      <c r="I31" s="235">
        <v>149.52000000000001</v>
      </c>
      <c r="J31" s="235">
        <v>43658</v>
      </c>
      <c r="K31" s="235">
        <v>5000</v>
      </c>
      <c r="L31" s="235">
        <v>5000</v>
      </c>
      <c r="M31" s="235">
        <v>10000</v>
      </c>
      <c r="N31" s="235">
        <v>10000</v>
      </c>
      <c r="O31" s="235">
        <v>10000</v>
      </c>
      <c r="P31" s="235">
        <v>3658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67">
        <f t="shared" si="18"/>
        <v>43658</v>
      </c>
      <c r="W31" s="267">
        <f t="shared" si="19"/>
        <v>0</v>
      </c>
      <c r="X31" s="267">
        <f t="shared" si="20"/>
        <v>0</v>
      </c>
      <c r="Y31" s="267" t="e">
        <f t="shared" si="26"/>
        <v>#DIV/0!</v>
      </c>
      <c r="Z31" s="113" t="str">
        <f t="shared" si="21"/>
        <v/>
      </c>
      <c r="AA31" s="113" t="str">
        <f t="shared" si="22"/>
        <v/>
      </c>
      <c r="AB31" s="267">
        <f t="shared" si="27"/>
        <v>0</v>
      </c>
      <c r="AC31" s="267">
        <f t="shared" si="23"/>
        <v>0</v>
      </c>
      <c r="AD31" s="267" t="e">
        <f t="shared" si="28"/>
        <v>#DIV/0!</v>
      </c>
      <c r="AE31" s="113" t="str">
        <f t="shared" si="24"/>
        <v/>
      </c>
      <c r="AF31" s="113" t="str">
        <f t="shared" si="25"/>
        <v/>
      </c>
      <c r="AG31" s="267">
        <f t="shared" si="29"/>
        <v>0</v>
      </c>
    </row>
    <row r="32" spans="1:33" ht="16.899999999999999" customHeight="1" outlineLevel="2">
      <c r="A32" s="193" t="s">
        <v>26</v>
      </c>
      <c r="B32" s="193" t="s">
        <v>59</v>
      </c>
      <c r="C32" s="193" t="s">
        <v>60</v>
      </c>
      <c r="D32" s="193" t="s">
        <v>83</v>
      </c>
      <c r="E32" s="193" t="s">
        <v>83</v>
      </c>
      <c r="F32" s="193" t="s">
        <v>84</v>
      </c>
      <c r="G32" s="235">
        <v>87100</v>
      </c>
      <c r="H32" s="235">
        <v>1327.29</v>
      </c>
      <c r="I32" s="235">
        <v>149.52000000000001</v>
      </c>
      <c r="J32" s="235">
        <v>87100</v>
      </c>
      <c r="K32" s="235">
        <v>5000</v>
      </c>
      <c r="L32" s="235">
        <v>5000</v>
      </c>
      <c r="M32" s="235">
        <v>10000</v>
      </c>
      <c r="N32" s="235">
        <v>10000</v>
      </c>
      <c r="O32" s="235">
        <v>10000</v>
      </c>
      <c r="P32" s="235">
        <v>10000</v>
      </c>
      <c r="Q32" s="235">
        <v>10000</v>
      </c>
      <c r="R32" s="235">
        <v>27100</v>
      </c>
      <c r="S32" s="235">
        <v>0</v>
      </c>
      <c r="T32" s="235">
        <v>0</v>
      </c>
      <c r="U32" s="235">
        <v>0</v>
      </c>
      <c r="V32" s="267">
        <f t="shared" si="18"/>
        <v>87100</v>
      </c>
      <c r="W32" s="267">
        <f t="shared" si="19"/>
        <v>0</v>
      </c>
      <c r="X32" s="267">
        <f t="shared" si="20"/>
        <v>0</v>
      </c>
      <c r="Y32" s="267" t="e">
        <f t="shared" si="26"/>
        <v>#DIV/0!</v>
      </c>
      <c r="Z32" s="113" t="str">
        <f t="shared" si="21"/>
        <v/>
      </c>
      <c r="AA32" s="113" t="str">
        <f t="shared" si="22"/>
        <v/>
      </c>
      <c r="AB32" s="267">
        <f t="shared" si="27"/>
        <v>0</v>
      </c>
      <c r="AC32" s="267">
        <f t="shared" si="23"/>
        <v>0</v>
      </c>
      <c r="AD32" s="267" t="e">
        <f t="shared" si="28"/>
        <v>#DIV/0!</v>
      </c>
      <c r="AE32" s="113" t="str">
        <f t="shared" si="24"/>
        <v/>
      </c>
      <c r="AF32" s="113" t="str">
        <f t="shared" si="25"/>
        <v/>
      </c>
      <c r="AG32" s="267">
        <f t="shared" si="29"/>
        <v>0</v>
      </c>
    </row>
    <row r="33" spans="1:33" ht="16.899999999999999" customHeight="1" outlineLevel="2">
      <c r="A33" s="193" t="s">
        <v>26</v>
      </c>
      <c r="B33" s="193" t="s">
        <v>59</v>
      </c>
      <c r="C33" s="193" t="s">
        <v>60</v>
      </c>
      <c r="D33" s="193" t="s">
        <v>85</v>
      </c>
      <c r="E33" s="193" t="s">
        <v>85</v>
      </c>
      <c r="F33" s="193" t="s">
        <v>86</v>
      </c>
      <c r="G33" s="235">
        <v>46913</v>
      </c>
      <c r="H33" s="235">
        <v>1327.29</v>
      </c>
      <c r="I33" s="235">
        <v>149.52000000000001</v>
      </c>
      <c r="J33" s="235">
        <v>46913</v>
      </c>
      <c r="K33" s="235">
        <v>5000</v>
      </c>
      <c r="L33" s="235">
        <v>5000</v>
      </c>
      <c r="M33" s="235">
        <v>10000</v>
      </c>
      <c r="N33" s="235">
        <v>10000</v>
      </c>
      <c r="O33" s="235">
        <v>10000</v>
      </c>
      <c r="P33" s="235">
        <v>6913</v>
      </c>
      <c r="Q33" s="235">
        <v>0</v>
      </c>
      <c r="R33" s="235">
        <v>0</v>
      </c>
      <c r="S33" s="235">
        <v>0</v>
      </c>
      <c r="T33" s="235">
        <v>0</v>
      </c>
      <c r="U33" s="235">
        <v>0</v>
      </c>
      <c r="V33" s="267">
        <f t="shared" si="18"/>
        <v>46913</v>
      </c>
      <c r="W33" s="267">
        <f t="shared" si="19"/>
        <v>0</v>
      </c>
      <c r="X33" s="267">
        <f t="shared" si="20"/>
        <v>0</v>
      </c>
      <c r="Y33" s="267" t="e">
        <f t="shared" si="26"/>
        <v>#DIV/0!</v>
      </c>
      <c r="Z33" s="113" t="str">
        <f t="shared" si="21"/>
        <v/>
      </c>
      <c r="AA33" s="113" t="str">
        <f t="shared" si="22"/>
        <v/>
      </c>
      <c r="AB33" s="267">
        <f t="shared" si="27"/>
        <v>0</v>
      </c>
      <c r="AC33" s="267">
        <f t="shared" si="23"/>
        <v>0</v>
      </c>
      <c r="AD33" s="267" t="e">
        <f t="shared" si="28"/>
        <v>#DIV/0!</v>
      </c>
      <c r="AE33" s="113" t="str">
        <f t="shared" si="24"/>
        <v/>
      </c>
      <c r="AF33" s="113" t="str">
        <f t="shared" si="25"/>
        <v/>
      </c>
      <c r="AG33" s="267">
        <f t="shared" si="29"/>
        <v>0</v>
      </c>
    </row>
    <row r="34" spans="1:33" ht="16.899999999999999" customHeight="1" outlineLevel="2">
      <c r="A34" s="193" t="s">
        <v>26</v>
      </c>
      <c r="B34" s="193" t="s">
        <v>59</v>
      </c>
      <c r="C34" s="193" t="s">
        <v>60</v>
      </c>
      <c r="D34" s="193" t="s">
        <v>87</v>
      </c>
      <c r="E34" s="193" t="s">
        <v>87</v>
      </c>
      <c r="F34" s="193" t="s">
        <v>88</v>
      </c>
      <c r="G34" s="235">
        <v>88530</v>
      </c>
      <c r="H34" s="235">
        <v>1327.29</v>
      </c>
      <c r="I34" s="235">
        <v>149.52000000000001</v>
      </c>
      <c r="J34" s="235">
        <v>88530</v>
      </c>
      <c r="K34" s="235">
        <v>5000</v>
      </c>
      <c r="L34" s="235">
        <v>5000</v>
      </c>
      <c r="M34" s="235">
        <v>10000</v>
      </c>
      <c r="N34" s="235">
        <v>10000</v>
      </c>
      <c r="O34" s="235">
        <v>10000</v>
      </c>
      <c r="P34" s="235">
        <v>10000</v>
      </c>
      <c r="Q34" s="235">
        <v>10000</v>
      </c>
      <c r="R34" s="235">
        <v>28530</v>
      </c>
      <c r="S34" s="235">
        <v>0</v>
      </c>
      <c r="T34" s="235">
        <v>0</v>
      </c>
      <c r="U34" s="235">
        <v>0</v>
      </c>
      <c r="V34" s="267">
        <f t="shared" si="18"/>
        <v>88530</v>
      </c>
      <c r="W34" s="267">
        <f t="shared" si="19"/>
        <v>0</v>
      </c>
      <c r="X34" s="267">
        <f t="shared" si="20"/>
        <v>0</v>
      </c>
      <c r="Y34" s="267" t="e">
        <f t="shared" si="26"/>
        <v>#DIV/0!</v>
      </c>
      <c r="Z34" s="113" t="str">
        <f t="shared" si="21"/>
        <v/>
      </c>
      <c r="AA34" s="113" t="str">
        <f t="shared" si="22"/>
        <v/>
      </c>
      <c r="AB34" s="267">
        <f t="shared" si="27"/>
        <v>0</v>
      </c>
      <c r="AC34" s="267">
        <f t="shared" si="23"/>
        <v>0</v>
      </c>
      <c r="AD34" s="267" t="e">
        <f t="shared" si="28"/>
        <v>#DIV/0!</v>
      </c>
      <c r="AE34" s="113" t="str">
        <f t="shared" si="24"/>
        <v/>
      </c>
      <c r="AF34" s="113" t="str">
        <f t="shared" si="25"/>
        <v/>
      </c>
      <c r="AG34" s="267">
        <f t="shared" si="29"/>
        <v>0</v>
      </c>
    </row>
    <row r="35" spans="1:33" ht="16.899999999999999" customHeight="1" outlineLevel="2">
      <c r="A35" s="193" t="s">
        <v>26</v>
      </c>
      <c r="B35" s="193" t="s">
        <v>59</v>
      </c>
      <c r="C35" s="193" t="s">
        <v>60</v>
      </c>
      <c r="D35" s="193" t="s">
        <v>89</v>
      </c>
      <c r="E35" s="193" t="s">
        <v>89</v>
      </c>
      <c r="F35" s="193" t="s">
        <v>90</v>
      </c>
      <c r="G35" s="235">
        <v>22510</v>
      </c>
      <c r="H35" s="235">
        <v>1327.29</v>
      </c>
      <c r="I35" s="235">
        <v>149.52000000000001</v>
      </c>
      <c r="J35" s="235">
        <v>22510</v>
      </c>
      <c r="K35" s="235">
        <v>5000</v>
      </c>
      <c r="L35" s="235">
        <v>5000</v>
      </c>
      <c r="M35" s="235">
        <v>10000</v>
      </c>
      <c r="N35" s="235">
        <v>2510</v>
      </c>
      <c r="O35" s="235">
        <v>0</v>
      </c>
      <c r="P35" s="235">
        <v>0</v>
      </c>
      <c r="Q35" s="235">
        <v>0</v>
      </c>
      <c r="R35" s="235">
        <v>0</v>
      </c>
      <c r="S35" s="235">
        <v>0</v>
      </c>
      <c r="T35" s="235">
        <v>0</v>
      </c>
      <c r="U35" s="235">
        <v>0</v>
      </c>
      <c r="V35" s="267">
        <f t="shared" si="18"/>
        <v>22510</v>
      </c>
      <c r="W35" s="267">
        <f t="shared" si="19"/>
        <v>0</v>
      </c>
      <c r="X35" s="267">
        <f t="shared" si="20"/>
        <v>0</v>
      </c>
      <c r="Y35" s="267" t="e">
        <f t="shared" si="26"/>
        <v>#DIV/0!</v>
      </c>
      <c r="Z35" s="113" t="str">
        <f t="shared" si="21"/>
        <v/>
      </c>
      <c r="AA35" s="113" t="str">
        <f t="shared" si="22"/>
        <v/>
      </c>
      <c r="AB35" s="267">
        <f t="shared" si="27"/>
        <v>0</v>
      </c>
      <c r="AC35" s="267">
        <f t="shared" si="23"/>
        <v>0</v>
      </c>
      <c r="AD35" s="267" t="e">
        <f t="shared" si="28"/>
        <v>#DIV/0!</v>
      </c>
      <c r="AE35" s="113" t="str">
        <f t="shared" si="24"/>
        <v/>
      </c>
      <c r="AF35" s="113" t="str">
        <f t="shared" si="25"/>
        <v/>
      </c>
      <c r="AG35" s="267">
        <f t="shared" si="29"/>
        <v>0</v>
      </c>
    </row>
    <row r="36" spans="1:33" ht="16.899999999999999" customHeight="1" outlineLevel="2">
      <c r="A36" s="193" t="s">
        <v>26</v>
      </c>
      <c r="B36" s="193" t="s">
        <v>59</v>
      </c>
      <c r="C36" s="193" t="s">
        <v>60</v>
      </c>
      <c r="D36" s="193" t="s">
        <v>91</v>
      </c>
      <c r="E36" s="193" t="s">
        <v>91</v>
      </c>
      <c r="F36" s="193" t="s">
        <v>92</v>
      </c>
      <c r="G36" s="235">
        <v>21071</v>
      </c>
      <c r="H36" s="235">
        <v>1327.29</v>
      </c>
      <c r="I36" s="235">
        <v>149.52000000000001</v>
      </c>
      <c r="J36" s="235">
        <v>21071</v>
      </c>
      <c r="K36" s="235">
        <v>5000</v>
      </c>
      <c r="L36" s="235">
        <v>5000</v>
      </c>
      <c r="M36" s="235">
        <v>10000</v>
      </c>
      <c r="N36" s="235">
        <v>1071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67">
        <f t="shared" si="18"/>
        <v>21071</v>
      </c>
      <c r="W36" s="267">
        <f t="shared" si="19"/>
        <v>0</v>
      </c>
      <c r="X36" s="267">
        <f t="shared" si="20"/>
        <v>0</v>
      </c>
      <c r="Y36" s="267" t="e">
        <f t="shared" si="26"/>
        <v>#DIV/0!</v>
      </c>
      <c r="Z36" s="113" t="str">
        <f t="shared" si="21"/>
        <v/>
      </c>
      <c r="AA36" s="113" t="str">
        <f t="shared" si="22"/>
        <v/>
      </c>
      <c r="AB36" s="267">
        <f t="shared" si="27"/>
        <v>0</v>
      </c>
      <c r="AC36" s="267">
        <f t="shared" si="23"/>
        <v>0</v>
      </c>
      <c r="AD36" s="267" t="e">
        <f t="shared" si="28"/>
        <v>#DIV/0!</v>
      </c>
      <c r="AE36" s="113" t="str">
        <f t="shared" si="24"/>
        <v/>
      </c>
      <c r="AF36" s="113" t="str">
        <f t="shared" si="25"/>
        <v/>
      </c>
      <c r="AG36" s="267">
        <f t="shared" si="29"/>
        <v>0</v>
      </c>
    </row>
    <row r="37" spans="1:33" ht="16.899999999999999" customHeight="1" outlineLevel="2">
      <c r="A37" s="193" t="s">
        <v>26</v>
      </c>
      <c r="B37" s="193" t="s">
        <v>59</v>
      </c>
      <c r="C37" s="193" t="s">
        <v>60</v>
      </c>
      <c r="D37" s="193" t="s">
        <v>93</v>
      </c>
      <c r="E37" s="193" t="s">
        <v>93</v>
      </c>
      <c r="F37" s="193" t="s">
        <v>94</v>
      </c>
      <c r="G37" s="235">
        <v>23839</v>
      </c>
      <c r="H37" s="235">
        <v>1327.29</v>
      </c>
      <c r="I37" s="235">
        <v>149.52000000000001</v>
      </c>
      <c r="J37" s="235">
        <v>23839</v>
      </c>
      <c r="K37" s="235">
        <v>5000</v>
      </c>
      <c r="L37" s="235">
        <v>5000</v>
      </c>
      <c r="M37" s="235">
        <v>10000</v>
      </c>
      <c r="N37" s="235">
        <v>3839</v>
      </c>
      <c r="O37" s="235">
        <v>0</v>
      </c>
      <c r="P37" s="235">
        <v>0</v>
      </c>
      <c r="Q37" s="235">
        <v>0</v>
      </c>
      <c r="R37" s="235">
        <v>0</v>
      </c>
      <c r="S37" s="235">
        <v>0</v>
      </c>
      <c r="T37" s="235">
        <v>0</v>
      </c>
      <c r="U37" s="235">
        <v>0</v>
      </c>
      <c r="V37" s="267">
        <f t="shared" si="18"/>
        <v>23839</v>
      </c>
      <c r="W37" s="267">
        <f t="shared" si="19"/>
        <v>0</v>
      </c>
      <c r="X37" s="267">
        <f t="shared" si="20"/>
        <v>0</v>
      </c>
      <c r="Y37" s="267" t="e">
        <f t="shared" si="26"/>
        <v>#DIV/0!</v>
      </c>
      <c r="Z37" s="113" t="str">
        <f t="shared" si="21"/>
        <v/>
      </c>
      <c r="AA37" s="113" t="str">
        <f t="shared" si="22"/>
        <v/>
      </c>
      <c r="AB37" s="267">
        <f t="shared" si="27"/>
        <v>0</v>
      </c>
      <c r="AC37" s="267">
        <f t="shared" si="23"/>
        <v>0</v>
      </c>
      <c r="AD37" s="267" t="e">
        <f t="shared" si="28"/>
        <v>#DIV/0!</v>
      </c>
      <c r="AE37" s="113" t="str">
        <f t="shared" si="24"/>
        <v/>
      </c>
      <c r="AF37" s="113" t="str">
        <f t="shared" si="25"/>
        <v/>
      </c>
      <c r="AG37" s="267">
        <f t="shared" si="29"/>
        <v>0</v>
      </c>
    </row>
    <row r="38" spans="1:33" ht="16.899999999999999" customHeight="1" outlineLevel="2">
      <c r="A38" s="193" t="s">
        <v>26</v>
      </c>
      <c r="B38" s="193" t="s">
        <v>59</v>
      </c>
      <c r="C38" s="193" t="s">
        <v>60</v>
      </c>
      <c r="D38" s="193" t="s">
        <v>95</v>
      </c>
      <c r="E38" s="193" t="s">
        <v>95</v>
      </c>
      <c r="F38" s="193" t="s">
        <v>96</v>
      </c>
      <c r="G38" s="235">
        <v>19516</v>
      </c>
      <c r="H38" s="235">
        <v>1327.29</v>
      </c>
      <c r="I38" s="235">
        <v>149.52000000000001</v>
      </c>
      <c r="J38" s="235">
        <v>19516</v>
      </c>
      <c r="K38" s="235">
        <v>5000</v>
      </c>
      <c r="L38" s="235">
        <v>5000</v>
      </c>
      <c r="M38" s="235">
        <v>9516</v>
      </c>
      <c r="N38" s="235">
        <v>0</v>
      </c>
      <c r="O38" s="235">
        <v>0</v>
      </c>
      <c r="P38" s="235">
        <v>0</v>
      </c>
      <c r="Q38" s="235">
        <v>0</v>
      </c>
      <c r="R38" s="235">
        <v>0</v>
      </c>
      <c r="S38" s="235">
        <v>0</v>
      </c>
      <c r="T38" s="235">
        <v>0</v>
      </c>
      <c r="U38" s="235">
        <v>0</v>
      </c>
      <c r="V38" s="267">
        <f t="shared" si="18"/>
        <v>19516</v>
      </c>
      <c r="W38" s="267">
        <f t="shared" si="19"/>
        <v>0</v>
      </c>
      <c r="X38" s="267">
        <f t="shared" si="20"/>
        <v>0</v>
      </c>
      <c r="Y38" s="267" t="e">
        <f t="shared" si="26"/>
        <v>#DIV/0!</v>
      </c>
      <c r="Z38" s="113" t="str">
        <f t="shared" si="21"/>
        <v/>
      </c>
      <c r="AA38" s="113" t="str">
        <f t="shared" si="22"/>
        <v/>
      </c>
      <c r="AB38" s="267">
        <f t="shared" si="27"/>
        <v>0</v>
      </c>
      <c r="AC38" s="267">
        <f t="shared" si="23"/>
        <v>0</v>
      </c>
      <c r="AD38" s="267" t="e">
        <f t="shared" si="28"/>
        <v>#DIV/0!</v>
      </c>
      <c r="AE38" s="113" t="str">
        <f t="shared" si="24"/>
        <v/>
      </c>
      <c r="AF38" s="113" t="str">
        <f t="shared" si="25"/>
        <v/>
      </c>
      <c r="AG38" s="267">
        <f t="shared" si="29"/>
        <v>0</v>
      </c>
    </row>
    <row r="39" spans="1:33" ht="16.899999999999999" customHeight="1" outlineLevel="2">
      <c r="A39" s="193" t="s">
        <v>26</v>
      </c>
      <c r="B39" s="193" t="s">
        <v>59</v>
      </c>
      <c r="C39" s="193" t="s">
        <v>60</v>
      </c>
      <c r="D39" s="193" t="s">
        <v>97</v>
      </c>
      <c r="E39" s="193" t="s">
        <v>97</v>
      </c>
      <c r="F39" s="193" t="s">
        <v>98</v>
      </c>
      <c r="G39" s="235">
        <v>98766</v>
      </c>
      <c r="H39" s="235">
        <v>1327.29</v>
      </c>
      <c r="I39" s="235">
        <v>149.52000000000001</v>
      </c>
      <c r="J39" s="235">
        <v>98766</v>
      </c>
      <c r="K39" s="235">
        <v>5000</v>
      </c>
      <c r="L39" s="235">
        <v>5000</v>
      </c>
      <c r="M39" s="235">
        <v>10000</v>
      </c>
      <c r="N39" s="235">
        <v>10000</v>
      </c>
      <c r="O39" s="235">
        <v>10000</v>
      </c>
      <c r="P39" s="235">
        <v>10000</v>
      </c>
      <c r="Q39" s="235">
        <v>10000</v>
      </c>
      <c r="R39" s="235">
        <v>30000</v>
      </c>
      <c r="S39" s="235">
        <v>8766</v>
      </c>
      <c r="T39" s="235">
        <v>0</v>
      </c>
      <c r="U39" s="235">
        <v>0</v>
      </c>
      <c r="V39" s="267">
        <f t="shared" si="18"/>
        <v>98766</v>
      </c>
      <c r="W39" s="267">
        <f t="shared" si="19"/>
        <v>0</v>
      </c>
      <c r="X39" s="267">
        <f t="shared" si="20"/>
        <v>0</v>
      </c>
      <c r="Y39" s="267" t="e">
        <f t="shared" si="26"/>
        <v>#DIV/0!</v>
      </c>
      <c r="Z39" s="113" t="str">
        <f t="shared" si="21"/>
        <v/>
      </c>
      <c r="AA39" s="113" t="str">
        <f t="shared" si="22"/>
        <v/>
      </c>
      <c r="AB39" s="267">
        <f t="shared" si="27"/>
        <v>0</v>
      </c>
      <c r="AC39" s="267">
        <f t="shared" si="23"/>
        <v>0</v>
      </c>
      <c r="AD39" s="267" t="e">
        <f t="shared" si="28"/>
        <v>#DIV/0!</v>
      </c>
      <c r="AE39" s="113" t="str">
        <f t="shared" si="24"/>
        <v/>
      </c>
      <c r="AF39" s="113" t="str">
        <f t="shared" si="25"/>
        <v/>
      </c>
      <c r="AG39" s="267">
        <f t="shared" si="29"/>
        <v>0</v>
      </c>
    </row>
    <row r="40" spans="1:33" ht="16.899999999999999" customHeight="1" outlineLevel="2">
      <c r="A40" s="193" t="s">
        <v>26</v>
      </c>
      <c r="B40" s="193" t="s">
        <v>59</v>
      </c>
      <c r="C40" s="193" t="s">
        <v>60</v>
      </c>
      <c r="D40" s="193" t="s">
        <v>99</v>
      </c>
      <c r="E40" s="193" t="s">
        <v>99</v>
      </c>
      <c r="F40" s="193" t="s">
        <v>100</v>
      </c>
      <c r="G40" s="235">
        <v>18370</v>
      </c>
      <c r="H40" s="235">
        <v>1327.29</v>
      </c>
      <c r="I40" s="235">
        <v>149.52000000000001</v>
      </c>
      <c r="J40" s="235">
        <v>18370</v>
      </c>
      <c r="K40" s="235">
        <v>5000</v>
      </c>
      <c r="L40" s="235">
        <v>5000</v>
      </c>
      <c r="M40" s="235">
        <v>8370</v>
      </c>
      <c r="N40" s="235">
        <v>0</v>
      </c>
      <c r="O40" s="235">
        <v>0</v>
      </c>
      <c r="P40" s="235">
        <v>0</v>
      </c>
      <c r="Q40" s="235">
        <v>0</v>
      </c>
      <c r="R40" s="235">
        <v>0</v>
      </c>
      <c r="S40" s="235">
        <v>0</v>
      </c>
      <c r="T40" s="235">
        <v>0</v>
      </c>
      <c r="U40" s="235">
        <v>0</v>
      </c>
      <c r="V40" s="267">
        <f t="shared" si="18"/>
        <v>18370</v>
      </c>
      <c r="W40" s="267">
        <f t="shared" si="19"/>
        <v>0</v>
      </c>
      <c r="X40" s="267">
        <f t="shared" si="20"/>
        <v>0</v>
      </c>
      <c r="Y40" s="267" t="e">
        <f t="shared" si="26"/>
        <v>#DIV/0!</v>
      </c>
      <c r="Z40" s="113" t="str">
        <f t="shared" si="21"/>
        <v/>
      </c>
      <c r="AA40" s="113" t="str">
        <f t="shared" si="22"/>
        <v/>
      </c>
      <c r="AB40" s="267">
        <f t="shared" si="27"/>
        <v>0</v>
      </c>
      <c r="AC40" s="267">
        <f t="shared" si="23"/>
        <v>0</v>
      </c>
      <c r="AD40" s="267" t="e">
        <f t="shared" si="28"/>
        <v>#DIV/0!</v>
      </c>
      <c r="AE40" s="113" t="str">
        <f t="shared" si="24"/>
        <v/>
      </c>
      <c r="AF40" s="113" t="str">
        <f t="shared" si="25"/>
        <v/>
      </c>
      <c r="AG40" s="267">
        <f t="shared" si="29"/>
        <v>0</v>
      </c>
    </row>
    <row r="41" spans="1:33" ht="16.899999999999999" customHeight="1" outlineLevel="2">
      <c r="A41" s="193" t="s">
        <v>26</v>
      </c>
      <c r="B41" s="193" t="s">
        <v>59</v>
      </c>
      <c r="C41" s="193" t="s">
        <v>60</v>
      </c>
      <c r="D41" s="193" t="s">
        <v>101</v>
      </c>
      <c r="E41" s="193" t="s">
        <v>101</v>
      </c>
      <c r="F41" s="193" t="s">
        <v>102</v>
      </c>
      <c r="G41" s="235">
        <v>19192</v>
      </c>
      <c r="H41" s="235">
        <v>1327.29</v>
      </c>
      <c r="I41" s="235">
        <v>149.52000000000001</v>
      </c>
      <c r="J41" s="235">
        <v>19192</v>
      </c>
      <c r="K41" s="235">
        <v>5000</v>
      </c>
      <c r="L41" s="235">
        <v>5000</v>
      </c>
      <c r="M41" s="235">
        <v>9192</v>
      </c>
      <c r="N41" s="235">
        <v>0</v>
      </c>
      <c r="O41" s="235">
        <v>0</v>
      </c>
      <c r="P41" s="235">
        <v>0</v>
      </c>
      <c r="Q41" s="235">
        <v>0</v>
      </c>
      <c r="R41" s="235">
        <v>0</v>
      </c>
      <c r="S41" s="235">
        <v>0</v>
      </c>
      <c r="T41" s="235">
        <v>0</v>
      </c>
      <c r="U41" s="235">
        <v>0</v>
      </c>
      <c r="V41" s="267">
        <f t="shared" si="18"/>
        <v>19192</v>
      </c>
      <c r="W41" s="267">
        <f t="shared" si="19"/>
        <v>0</v>
      </c>
      <c r="X41" s="267">
        <f t="shared" si="20"/>
        <v>0</v>
      </c>
      <c r="Y41" s="267" t="e">
        <f t="shared" si="26"/>
        <v>#DIV/0!</v>
      </c>
      <c r="Z41" s="113" t="str">
        <f t="shared" si="21"/>
        <v/>
      </c>
      <c r="AA41" s="113" t="str">
        <f t="shared" si="22"/>
        <v/>
      </c>
      <c r="AB41" s="267">
        <f t="shared" si="27"/>
        <v>0</v>
      </c>
      <c r="AC41" s="267">
        <f t="shared" si="23"/>
        <v>0</v>
      </c>
      <c r="AD41" s="267" t="e">
        <f t="shared" si="28"/>
        <v>#DIV/0!</v>
      </c>
      <c r="AE41" s="113" t="str">
        <f t="shared" si="24"/>
        <v/>
      </c>
      <c r="AF41" s="113" t="str">
        <f t="shared" si="25"/>
        <v/>
      </c>
      <c r="AG41" s="267">
        <f t="shared" si="29"/>
        <v>0</v>
      </c>
    </row>
    <row r="42" spans="1:33" ht="16.899999999999999" customHeight="1" outlineLevel="1">
      <c r="C42" s="193" t="s">
        <v>265</v>
      </c>
      <c r="G42" s="235">
        <f>SUBTOTAL(9,G21:G41)</f>
        <v>1159058</v>
      </c>
      <c r="H42" s="235"/>
      <c r="I42" s="235"/>
      <c r="J42" s="235">
        <f t="shared" ref="J42:Y42" si="30">SUBTOTAL(9,J21:J41)</f>
        <v>1159058</v>
      </c>
      <c r="K42" s="235">
        <f t="shared" si="30"/>
        <v>104065</v>
      </c>
      <c r="L42" s="235">
        <f t="shared" si="30"/>
        <v>100000</v>
      </c>
      <c r="M42" s="235">
        <f t="shared" si="30"/>
        <v>197078</v>
      </c>
      <c r="N42" s="235">
        <f t="shared" si="30"/>
        <v>142565</v>
      </c>
      <c r="O42" s="235">
        <f t="shared" si="30"/>
        <v>113630</v>
      </c>
      <c r="P42" s="235">
        <f t="shared" si="30"/>
        <v>90407</v>
      </c>
      <c r="Q42" s="235">
        <f t="shared" si="30"/>
        <v>61596</v>
      </c>
      <c r="R42" s="235">
        <f t="shared" si="30"/>
        <v>170059</v>
      </c>
      <c r="S42" s="235">
        <f t="shared" si="30"/>
        <v>40355</v>
      </c>
      <c r="T42" s="235">
        <f t="shared" si="30"/>
        <v>30000</v>
      </c>
      <c r="U42" s="235">
        <f t="shared" si="30"/>
        <v>109303</v>
      </c>
      <c r="V42" s="267">
        <f t="shared" si="30"/>
        <v>1159058</v>
      </c>
      <c r="W42" s="267">
        <f t="shared" si="30"/>
        <v>0</v>
      </c>
      <c r="X42" s="267">
        <f t="shared" si="30"/>
        <v>0</v>
      </c>
      <c r="Y42" s="267" t="e">
        <f t="shared" si="30"/>
        <v>#DIV/0!</v>
      </c>
      <c r="Z42" s="235"/>
      <c r="AA42" s="235"/>
      <c r="AB42" s="267">
        <f>SUBTOTAL(9,AB21:AB41)</f>
        <v>0</v>
      </c>
      <c r="AC42" s="267">
        <f>SUBTOTAL(9,AC21:AC41)</f>
        <v>0</v>
      </c>
      <c r="AD42" s="267" t="e">
        <f>SUBTOTAL(9,AD21:AD41)</f>
        <v>#DIV/0!</v>
      </c>
      <c r="AE42" s="235"/>
      <c r="AF42" s="235"/>
      <c r="AG42" s="267">
        <f>SUBTOTAL(9,AG21:AG41)</f>
        <v>0</v>
      </c>
    </row>
    <row r="43" spans="1:33" ht="16.899999999999999" customHeight="1" outlineLevel="2">
      <c r="A43" s="193" t="s">
        <v>26</v>
      </c>
      <c r="B43" s="193" t="s">
        <v>103</v>
      </c>
      <c r="C43" s="193" t="s">
        <v>104</v>
      </c>
      <c r="D43" s="193" t="s">
        <v>105</v>
      </c>
      <c r="E43" s="193" t="s">
        <v>105</v>
      </c>
      <c r="F43" s="193" t="s">
        <v>106</v>
      </c>
      <c r="G43" s="235">
        <v>92878</v>
      </c>
      <c r="H43" s="235">
        <v>1366.8899999999999</v>
      </c>
      <c r="I43" s="235">
        <v>150.5</v>
      </c>
      <c r="J43" s="235">
        <v>92878</v>
      </c>
      <c r="K43" s="235">
        <v>5000</v>
      </c>
      <c r="L43" s="235">
        <v>5000</v>
      </c>
      <c r="M43" s="235">
        <v>10000</v>
      </c>
      <c r="N43" s="235">
        <v>10000</v>
      </c>
      <c r="O43" s="235">
        <v>10000</v>
      </c>
      <c r="P43" s="235">
        <v>10000</v>
      </c>
      <c r="Q43" s="235">
        <v>10000</v>
      </c>
      <c r="R43" s="235">
        <v>30000</v>
      </c>
      <c r="S43" s="235">
        <v>2878</v>
      </c>
      <c r="T43" s="235">
        <v>0</v>
      </c>
      <c r="U43" s="235">
        <v>0</v>
      </c>
      <c r="V43" s="267">
        <f t="shared" si="18"/>
        <v>92878</v>
      </c>
      <c r="W43" s="267">
        <f t="shared" si="19"/>
        <v>0</v>
      </c>
      <c r="X43" s="267">
        <f t="shared" si="20"/>
        <v>0</v>
      </c>
      <c r="Y43" s="267" t="e">
        <f t="shared" si="26"/>
        <v>#DIV/0!</v>
      </c>
      <c r="Z43" s="113" t="str">
        <f t="shared" ref="Z43:Z56" si="31">IFERROR(Y43/V43,"")</f>
        <v/>
      </c>
      <c r="AA43" s="113" t="str">
        <f t="shared" ref="AA43:AA56" si="32">INDEX(Z$5:Z$99,MATCH($D43,$E$5:$E$99,0))</f>
        <v/>
      </c>
      <c r="AB43" s="267">
        <f t="shared" si="27"/>
        <v>0</v>
      </c>
      <c r="AC43" s="267">
        <f t="shared" si="23"/>
        <v>0</v>
      </c>
      <c r="AD43" s="267" t="e">
        <f t="shared" si="28"/>
        <v>#DIV/0!</v>
      </c>
      <c r="AE43" s="113" t="str">
        <f t="shared" ref="AE43:AE56" si="33">IFERROR(AD43/V43,"")</f>
        <v/>
      </c>
      <c r="AF43" s="113" t="str">
        <f t="shared" ref="AF43:AF56" si="34">INDEX(AE$5:AE$99,MATCH($D43,E$5:E$99,0))</f>
        <v/>
      </c>
      <c r="AG43" s="267">
        <f t="shared" si="29"/>
        <v>0</v>
      </c>
    </row>
    <row r="44" spans="1:33" ht="16.899999999999999" customHeight="1" outlineLevel="2">
      <c r="A44" s="193" t="s">
        <v>26</v>
      </c>
      <c r="B44" s="193" t="s">
        <v>103</v>
      </c>
      <c r="C44" s="193" t="s">
        <v>104</v>
      </c>
      <c r="D44" s="193" t="s">
        <v>107</v>
      </c>
      <c r="E44" s="193" t="s">
        <v>107</v>
      </c>
      <c r="F44" s="193" t="s">
        <v>108</v>
      </c>
      <c r="G44" s="235">
        <v>21557</v>
      </c>
      <c r="H44" s="235">
        <v>1366.8899999999999</v>
      </c>
      <c r="I44" s="235">
        <v>150.5</v>
      </c>
      <c r="J44" s="235">
        <v>21557</v>
      </c>
      <c r="K44" s="235">
        <v>5000</v>
      </c>
      <c r="L44" s="235">
        <v>5000</v>
      </c>
      <c r="M44" s="235">
        <v>10000</v>
      </c>
      <c r="N44" s="235">
        <v>1557</v>
      </c>
      <c r="O44" s="235">
        <v>0</v>
      </c>
      <c r="P44" s="235">
        <v>0</v>
      </c>
      <c r="Q44" s="235">
        <v>0</v>
      </c>
      <c r="R44" s="235">
        <v>0</v>
      </c>
      <c r="S44" s="235">
        <v>0</v>
      </c>
      <c r="T44" s="235">
        <v>0</v>
      </c>
      <c r="U44" s="235">
        <v>0</v>
      </c>
      <c r="V44" s="267">
        <f t="shared" si="18"/>
        <v>21557</v>
      </c>
      <c r="W44" s="267">
        <f t="shared" si="19"/>
        <v>0</v>
      </c>
      <c r="X44" s="267">
        <f t="shared" si="20"/>
        <v>0</v>
      </c>
      <c r="Y44" s="267" t="e">
        <f t="shared" si="26"/>
        <v>#DIV/0!</v>
      </c>
      <c r="Z44" s="113" t="str">
        <f t="shared" si="31"/>
        <v/>
      </c>
      <c r="AA44" s="113" t="str">
        <f t="shared" si="32"/>
        <v/>
      </c>
      <c r="AB44" s="267">
        <f t="shared" si="27"/>
        <v>0</v>
      </c>
      <c r="AC44" s="267">
        <f t="shared" si="23"/>
        <v>0</v>
      </c>
      <c r="AD44" s="267" t="e">
        <f t="shared" si="28"/>
        <v>#DIV/0!</v>
      </c>
      <c r="AE44" s="113" t="str">
        <f t="shared" si="33"/>
        <v/>
      </c>
      <c r="AF44" s="113" t="str">
        <f t="shared" si="34"/>
        <v/>
      </c>
      <c r="AG44" s="267">
        <f t="shared" si="29"/>
        <v>0</v>
      </c>
    </row>
    <row r="45" spans="1:33" ht="16.899999999999999" customHeight="1" outlineLevel="2">
      <c r="A45" s="193" t="s">
        <v>26</v>
      </c>
      <c r="B45" s="193" t="s">
        <v>103</v>
      </c>
      <c r="C45" s="193" t="s">
        <v>104</v>
      </c>
      <c r="D45" s="193" t="s">
        <v>109</v>
      </c>
      <c r="E45" s="193" t="s">
        <v>109</v>
      </c>
      <c r="F45" s="193" t="s">
        <v>110</v>
      </c>
      <c r="G45" s="235">
        <v>47394</v>
      </c>
      <c r="H45" s="235">
        <v>1366.8899999999999</v>
      </c>
      <c r="I45" s="235">
        <v>150.5</v>
      </c>
      <c r="J45" s="235">
        <v>47394</v>
      </c>
      <c r="K45" s="235">
        <v>5000</v>
      </c>
      <c r="L45" s="235">
        <v>5000</v>
      </c>
      <c r="M45" s="235">
        <v>10000</v>
      </c>
      <c r="N45" s="235">
        <v>10000</v>
      </c>
      <c r="O45" s="235">
        <v>10000</v>
      </c>
      <c r="P45" s="235">
        <v>7394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67">
        <f t="shared" si="18"/>
        <v>47394</v>
      </c>
      <c r="W45" s="267">
        <f t="shared" si="19"/>
        <v>0</v>
      </c>
      <c r="X45" s="267">
        <f t="shared" si="20"/>
        <v>0</v>
      </c>
      <c r="Y45" s="267" t="e">
        <f t="shared" si="26"/>
        <v>#DIV/0!</v>
      </c>
      <c r="Z45" s="113" t="str">
        <f t="shared" si="31"/>
        <v/>
      </c>
      <c r="AA45" s="113" t="str">
        <f t="shared" si="32"/>
        <v/>
      </c>
      <c r="AB45" s="267">
        <f t="shared" si="27"/>
        <v>0</v>
      </c>
      <c r="AC45" s="267">
        <f t="shared" si="23"/>
        <v>0</v>
      </c>
      <c r="AD45" s="267" t="e">
        <f t="shared" si="28"/>
        <v>#DIV/0!</v>
      </c>
      <c r="AE45" s="113" t="str">
        <f t="shared" si="33"/>
        <v/>
      </c>
      <c r="AF45" s="113" t="str">
        <f t="shared" si="34"/>
        <v/>
      </c>
      <c r="AG45" s="267">
        <f t="shared" si="29"/>
        <v>0</v>
      </c>
    </row>
    <row r="46" spans="1:33" ht="16.899999999999999" customHeight="1" outlineLevel="2">
      <c r="A46" s="193" t="s">
        <v>26</v>
      </c>
      <c r="B46" s="193" t="s">
        <v>103</v>
      </c>
      <c r="C46" s="193" t="s">
        <v>104</v>
      </c>
      <c r="D46" s="193" t="s">
        <v>111</v>
      </c>
      <c r="E46" s="193" t="s">
        <v>111</v>
      </c>
      <c r="F46" s="193" t="s">
        <v>112</v>
      </c>
      <c r="G46" s="235">
        <v>35396</v>
      </c>
      <c r="H46" s="235">
        <v>1366.8899999999999</v>
      </c>
      <c r="I46" s="235">
        <v>150.5</v>
      </c>
      <c r="J46" s="235">
        <v>35396</v>
      </c>
      <c r="K46" s="235">
        <v>5000</v>
      </c>
      <c r="L46" s="235">
        <v>5000</v>
      </c>
      <c r="M46" s="235">
        <v>10000</v>
      </c>
      <c r="N46" s="235">
        <v>10000</v>
      </c>
      <c r="O46" s="235">
        <v>5396</v>
      </c>
      <c r="P46" s="235">
        <v>0</v>
      </c>
      <c r="Q46" s="235">
        <v>0</v>
      </c>
      <c r="R46" s="235">
        <v>0</v>
      </c>
      <c r="S46" s="235">
        <v>0</v>
      </c>
      <c r="T46" s="235">
        <v>0</v>
      </c>
      <c r="U46" s="235">
        <v>0</v>
      </c>
      <c r="V46" s="267">
        <f t="shared" si="18"/>
        <v>35396</v>
      </c>
      <c r="W46" s="267">
        <f t="shared" si="19"/>
        <v>0</v>
      </c>
      <c r="X46" s="267">
        <f t="shared" si="20"/>
        <v>0</v>
      </c>
      <c r="Y46" s="267" t="e">
        <f t="shared" si="26"/>
        <v>#DIV/0!</v>
      </c>
      <c r="Z46" s="113" t="str">
        <f t="shared" si="31"/>
        <v/>
      </c>
      <c r="AA46" s="113" t="str">
        <f t="shared" si="32"/>
        <v/>
      </c>
      <c r="AB46" s="267">
        <f t="shared" si="27"/>
        <v>0</v>
      </c>
      <c r="AC46" s="267">
        <f t="shared" si="23"/>
        <v>0</v>
      </c>
      <c r="AD46" s="267" t="e">
        <f t="shared" si="28"/>
        <v>#DIV/0!</v>
      </c>
      <c r="AE46" s="113" t="str">
        <f t="shared" si="33"/>
        <v/>
      </c>
      <c r="AF46" s="113" t="str">
        <f t="shared" si="34"/>
        <v/>
      </c>
      <c r="AG46" s="267">
        <f t="shared" si="29"/>
        <v>0</v>
      </c>
    </row>
    <row r="47" spans="1:33" ht="16.899999999999999" customHeight="1" outlineLevel="2">
      <c r="A47" s="193" t="s">
        <v>26</v>
      </c>
      <c r="B47" s="193" t="s">
        <v>103</v>
      </c>
      <c r="C47" s="193" t="s">
        <v>104</v>
      </c>
      <c r="D47" s="193" t="s">
        <v>113</v>
      </c>
      <c r="E47" s="193" t="s">
        <v>113</v>
      </c>
      <c r="F47" s="193" t="s">
        <v>114</v>
      </c>
      <c r="G47" s="235">
        <v>8844</v>
      </c>
      <c r="H47" s="235">
        <v>1366.8899999999999</v>
      </c>
      <c r="I47" s="235">
        <v>150.5</v>
      </c>
      <c r="J47" s="235">
        <v>8844</v>
      </c>
      <c r="K47" s="235">
        <v>5000</v>
      </c>
      <c r="L47" s="235">
        <v>3844</v>
      </c>
      <c r="M47" s="235">
        <v>0</v>
      </c>
      <c r="N47" s="235">
        <v>0</v>
      </c>
      <c r="O47" s="235">
        <v>0</v>
      </c>
      <c r="P47" s="235">
        <v>0</v>
      </c>
      <c r="Q47" s="235">
        <v>0</v>
      </c>
      <c r="R47" s="235">
        <v>0</v>
      </c>
      <c r="S47" s="235">
        <v>0</v>
      </c>
      <c r="T47" s="235">
        <v>0</v>
      </c>
      <c r="U47" s="235">
        <v>0</v>
      </c>
      <c r="V47" s="267">
        <f t="shared" si="18"/>
        <v>8844</v>
      </c>
      <c r="W47" s="267">
        <f t="shared" si="19"/>
        <v>0</v>
      </c>
      <c r="X47" s="267">
        <f t="shared" si="20"/>
        <v>0</v>
      </c>
      <c r="Y47" s="267" t="e">
        <f t="shared" si="26"/>
        <v>#DIV/0!</v>
      </c>
      <c r="Z47" s="113" t="str">
        <f t="shared" si="31"/>
        <v/>
      </c>
      <c r="AA47" s="113" t="str">
        <f t="shared" si="32"/>
        <v/>
      </c>
      <c r="AB47" s="267">
        <f t="shared" si="27"/>
        <v>0</v>
      </c>
      <c r="AC47" s="267">
        <f t="shared" si="23"/>
        <v>0</v>
      </c>
      <c r="AD47" s="267" t="e">
        <f t="shared" si="28"/>
        <v>#DIV/0!</v>
      </c>
      <c r="AE47" s="113" t="str">
        <f t="shared" si="33"/>
        <v/>
      </c>
      <c r="AF47" s="113" t="str">
        <f t="shared" si="34"/>
        <v/>
      </c>
      <c r="AG47" s="267">
        <f t="shared" si="29"/>
        <v>0</v>
      </c>
    </row>
    <row r="48" spans="1:33" ht="16.899999999999999" customHeight="1" outlineLevel="2">
      <c r="A48" s="193" t="s">
        <v>26</v>
      </c>
      <c r="B48" s="193" t="s">
        <v>103</v>
      </c>
      <c r="C48" s="193" t="s">
        <v>104</v>
      </c>
      <c r="D48" s="193" t="s">
        <v>115</v>
      </c>
      <c r="E48" s="193" t="s">
        <v>115</v>
      </c>
      <c r="F48" s="193" t="s">
        <v>116</v>
      </c>
      <c r="G48" s="235">
        <v>18142</v>
      </c>
      <c r="H48" s="235">
        <v>1366.8899999999999</v>
      </c>
      <c r="I48" s="235">
        <v>150.5</v>
      </c>
      <c r="J48" s="235">
        <v>18142</v>
      </c>
      <c r="K48" s="235">
        <v>5000</v>
      </c>
      <c r="L48" s="235">
        <v>5000</v>
      </c>
      <c r="M48" s="235">
        <v>8142</v>
      </c>
      <c r="N48" s="235">
        <v>0</v>
      </c>
      <c r="O48" s="235">
        <v>0</v>
      </c>
      <c r="P48" s="235">
        <v>0</v>
      </c>
      <c r="Q48" s="235">
        <v>0</v>
      </c>
      <c r="R48" s="235">
        <v>0</v>
      </c>
      <c r="S48" s="235">
        <v>0</v>
      </c>
      <c r="T48" s="235">
        <v>0</v>
      </c>
      <c r="U48" s="235">
        <v>0</v>
      </c>
      <c r="V48" s="267">
        <f t="shared" si="18"/>
        <v>18142</v>
      </c>
      <c r="W48" s="267">
        <f t="shared" si="19"/>
        <v>0</v>
      </c>
      <c r="X48" s="267">
        <f t="shared" si="20"/>
        <v>0</v>
      </c>
      <c r="Y48" s="267" t="e">
        <f t="shared" si="26"/>
        <v>#DIV/0!</v>
      </c>
      <c r="Z48" s="113" t="str">
        <f t="shared" si="31"/>
        <v/>
      </c>
      <c r="AA48" s="113" t="str">
        <f t="shared" si="32"/>
        <v/>
      </c>
      <c r="AB48" s="267">
        <f t="shared" si="27"/>
        <v>0</v>
      </c>
      <c r="AC48" s="267">
        <f t="shared" si="23"/>
        <v>0</v>
      </c>
      <c r="AD48" s="267" t="e">
        <f t="shared" si="28"/>
        <v>#DIV/0!</v>
      </c>
      <c r="AE48" s="113" t="str">
        <f t="shared" si="33"/>
        <v/>
      </c>
      <c r="AF48" s="113" t="str">
        <f t="shared" si="34"/>
        <v/>
      </c>
      <c r="AG48" s="267">
        <f t="shared" si="29"/>
        <v>0</v>
      </c>
    </row>
    <row r="49" spans="1:33" ht="16.899999999999999" customHeight="1" outlineLevel="2">
      <c r="A49" s="193" t="s">
        <v>26</v>
      </c>
      <c r="B49" s="193" t="s">
        <v>103</v>
      </c>
      <c r="C49" s="193" t="s">
        <v>104</v>
      </c>
      <c r="D49" s="193" t="s">
        <v>117</v>
      </c>
      <c r="E49" s="193" t="s">
        <v>117</v>
      </c>
      <c r="F49" s="193" t="s">
        <v>118</v>
      </c>
      <c r="G49" s="235">
        <v>21107</v>
      </c>
      <c r="H49" s="235">
        <v>1366.8899999999999</v>
      </c>
      <c r="I49" s="235">
        <v>150.5</v>
      </c>
      <c r="J49" s="235">
        <v>21107</v>
      </c>
      <c r="K49" s="235">
        <v>5000</v>
      </c>
      <c r="L49" s="235">
        <v>5000</v>
      </c>
      <c r="M49" s="235">
        <v>10000</v>
      </c>
      <c r="N49" s="235">
        <v>1107</v>
      </c>
      <c r="O49" s="235">
        <v>0</v>
      </c>
      <c r="P49" s="235">
        <v>0</v>
      </c>
      <c r="Q49" s="235">
        <v>0</v>
      </c>
      <c r="R49" s="235">
        <v>0</v>
      </c>
      <c r="S49" s="235">
        <v>0</v>
      </c>
      <c r="T49" s="235">
        <v>0</v>
      </c>
      <c r="U49" s="235">
        <v>0</v>
      </c>
      <c r="V49" s="267">
        <f t="shared" si="18"/>
        <v>21107</v>
      </c>
      <c r="W49" s="267">
        <f t="shared" si="19"/>
        <v>0</v>
      </c>
      <c r="X49" s="267">
        <f t="shared" si="20"/>
        <v>0</v>
      </c>
      <c r="Y49" s="267" t="e">
        <f t="shared" si="26"/>
        <v>#DIV/0!</v>
      </c>
      <c r="Z49" s="113" t="str">
        <f t="shared" si="31"/>
        <v/>
      </c>
      <c r="AA49" s="113" t="str">
        <f t="shared" si="32"/>
        <v/>
      </c>
      <c r="AB49" s="267">
        <f t="shared" si="27"/>
        <v>0</v>
      </c>
      <c r="AC49" s="267">
        <f t="shared" si="23"/>
        <v>0</v>
      </c>
      <c r="AD49" s="267" t="e">
        <f t="shared" si="28"/>
        <v>#DIV/0!</v>
      </c>
      <c r="AE49" s="113" t="str">
        <f t="shared" si="33"/>
        <v/>
      </c>
      <c r="AF49" s="113" t="str">
        <f t="shared" si="34"/>
        <v/>
      </c>
      <c r="AG49" s="267">
        <f t="shared" si="29"/>
        <v>0</v>
      </c>
    </row>
    <row r="50" spans="1:33" ht="16.899999999999999" customHeight="1" outlineLevel="2">
      <c r="A50" s="193" t="s">
        <v>26</v>
      </c>
      <c r="B50" s="193" t="s">
        <v>103</v>
      </c>
      <c r="C50" s="193" t="s">
        <v>104</v>
      </c>
      <c r="D50" s="193" t="s">
        <v>119</v>
      </c>
      <c r="E50" s="193" t="s">
        <v>119</v>
      </c>
      <c r="F50" s="193" t="s">
        <v>120</v>
      </c>
      <c r="G50" s="235">
        <v>86677</v>
      </c>
      <c r="H50" s="235">
        <v>1366.8899999999999</v>
      </c>
      <c r="I50" s="235">
        <v>150.5</v>
      </c>
      <c r="J50" s="235">
        <v>86677</v>
      </c>
      <c r="K50" s="235">
        <v>5000</v>
      </c>
      <c r="L50" s="235">
        <v>5000</v>
      </c>
      <c r="M50" s="235">
        <v>10000</v>
      </c>
      <c r="N50" s="235">
        <v>10000</v>
      </c>
      <c r="O50" s="235">
        <v>10000</v>
      </c>
      <c r="P50" s="235">
        <v>10000</v>
      </c>
      <c r="Q50" s="235">
        <v>10000</v>
      </c>
      <c r="R50" s="235">
        <v>26677</v>
      </c>
      <c r="S50" s="235">
        <v>0</v>
      </c>
      <c r="T50" s="235">
        <v>0</v>
      </c>
      <c r="U50" s="235">
        <v>0</v>
      </c>
      <c r="V50" s="267">
        <f t="shared" si="18"/>
        <v>86677</v>
      </c>
      <c r="W50" s="267">
        <f t="shared" si="19"/>
        <v>0</v>
      </c>
      <c r="X50" s="267">
        <f t="shared" si="20"/>
        <v>0</v>
      </c>
      <c r="Y50" s="267" t="e">
        <f t="shared" si="26"/>
        <v>#DIV/0!</v>
      </c>
      <c r="Z50" s="113" t="str">
        <f t="shared" si="31"/>
        <v/>
      </c>
      <c r="AA50" s="113" t="str">
        <f t="shared" si="32"/>
        <v/>
      </c>
      <c r="AB50" s="267">
        <f t="shared" si="27"/>
        <v>0</v>
      </c>
      <c r="AC50" s="267">
        <f t="shared" si="23"/>
        <v>0</v>
      </c>
      <c r="AD50" s="267" t="e">
        <f t="shared" si="28"/>
        <v>#DIV/0!</v>
      </c>
      <c r="AE50" s="113" t="str">
        <f t="shared" si="33"/>
        <v/>
      </c>
      <c r="AF50" s="113" t="str">
        <f t="shared" si="34"/>
        <v/>
      </c>
      <c r="AG50" s="267">
        <f t="shared" si="29"/>
        <v>0</v>
      </c>
    </row>
    <row r="51" spans="1:33" ht="16.899999999999999" customHeight="1" outlineLevel="2">
      <c r="A51" s="193" t="s">
        <v>26</v>
      </c>
      <c r="B51" s="193" t="s">
        <v>103</v>
      </c>
      <c r="C51" s="193" t="s">
        <v>104</v>
      </c>
      <c r="D51" s="193" t="s">
        <v>121</v>
      </c>
      <c r="E51" s="193" t="s">
        <v>121</v>
      </c>
      <c r="F51" s="193" t="s">
        <v>122</v>
      </c>
      <c r="G51" s="235">
        <v>26890</v>
      </c>
      <c r="H51" s="235">
        <v>1366.8899999999999</v>
      </c>
      <c r="I51" s="235">
        <v>150.5</v>
      </c>
      <c r="J51" s="235">
        <v>26890</v>
      </c>
      <c r="K51" s="235">
        <v>5000</v>
      </c>
      <c r="L51" s="235">
        <v>5000</v>
      </c>
      <c r="M51" s="235">
        <v>10000</v>
      </c>
      <c r="N51" s="235">
        <v>6890</v>
      </c>
      <c r="O51" s="235">
        <v>0</v>
      </c>
      <c r="P51" s="235">
        <v>0</v>
      </c>
      <c r="Q51" s="235">
        <v>0</v>
      </c>
      <c r="R51" s="235">
        <v>0</v>
      </c>
      <c r="S51" s="235">
        <v>0</v>
      </c>
      <c r="T51" s="235">
        <v>0</v>
      </c>
      <c r="U51" s="235">
        <v>0</v>
      </c>
      <c r="V51" s="267">
        <f t="shared" si="18"/>
        <v>26890</v>
      </c>
      <c r="W51" s="267">
        <f t="shared" si="19"/>
        <v>0</v>
      </c>
      <c r="X51" s="267">
        <f t="shared" si="20"/>
        <v>0</v>
      </c>
      <c r="Y51" s="267" t="e">
        <f t="shared" si="26"/>
        <v>#DIV/0!</v>
      </c>
      <c r="Z51" s="113" t="str">
        <f t="shared" si="31"/>
        <v/>
      </c>
      <c r="AA51" s="113" t="str">
        <f t="shared" si="32"/>
        <v/>
      </c>
      <c r="AB51" s="267">
        <f t="shared" si="27"/>
        <v>0</v>
      </c>
      <c r="AC51" s="267">
        <f t="shared" si="23"/>
        <v>0</v>
      </c>
      <c r="AD51" s="267" t="e">
        <f t="shared" si="28"/>
        <v>#DIV/0!</v>
      </c>
      <c r="AE51" s="113" t="str">
        <f t="shared" si="33"/>
        <v/>
      </c>
      <c r="AF51" s="113" t="str">
        <f t="shared" si="34"/>
        <v/>
      </c>
      <c r="AG51" s="267">
        <f t="shared" si="29"/>
        <v>0</v>
      </c>
    </row>
    <row r="52" spans="1:33" ht="16.899999999999999" customHeight="1" outlineLevel="2">
      <c r="A52" s="193" t="s">
        <v>26</v>
      </c>
      <c r="B52" s="193" t="s">
        <v>103</v>
      </c>
      <c r="C52" s="193" t="s">
        <v>104</v>
      </c>
      <c r="D52" s="193" t="s">
        <v>123</v>
      </c>
      <c r="E52" s="193" t="s">
        <v>123</v>
      </c>
      <c r="F52" s="193" t="s">
        <v>124</v>
      </c>
      <c r="G52" s="235">
        <v>20332</v>
      </c>
      <c r="H52" s="235">
        <v>1366.8899999999999</v>
      </c>
      <c r="I52" s="235">
        <v>150.5</v>
      </c>
      <c r="J52" s="235">
        <v>20332</v>
      </c>
      <c r="K52" s="235">
        <v>5000</v>
      </c>
      <c r="L52" s="235">
        <v>5000</v>
      </c>
      <c r="M52" s="235">
        <v>10000</v>
      </c>
      <c r="N52" s="235">
        <v>332</v>
      </c>
      <c r="O52" s="235">
        <v>0</v>
      </c>
      <c r="P52" s="235">
        <v>0</v>
      </c>
      <c r="Q52" s="235">
        <v>0</v>
      </c>
      <c r="R52" s="235">
        <v>0</v>
      </c>
      <c r="S52" s="235">
        <v>0</v>
      </c>
      <c r="T52" s="235">
        <v>0</v>
      </c>
      <c r="U52" s="235">
        <v>0</v>
      </c>
      <c r="V52" s="267">
        <f t="shared" si="18"/>
        <v>20332</v>
      </c>
      <c r="W52" s="267">
        <f t="shared" si="19"/>
        <v>0</v>
      </c>
      <c r="X52" s="267">
        <f t="shared" si="20"/>
        <v>0</v>
      </c>
      <c r="Y52" s="267" t="e">
        <f t="shared" si="26"/>
        <v>#DIV/0!</v>
      </c>
      <c r="Z52" s="113" t="str">
        <f t="shared" si="31"/>
        <v/>
      </c>
      <c r="AA52" s="113" t="str">
        <f t="shared" si="32"/>
        <v/>
      </c>
      <c r="AB52" s="267">
        <f t="shared" si="27"/>
        <v>0</v>
      </c>
      <c r="AC52" s="267">
        <f t="shared" si="23"/>
        <v>0</v>
      </c>
      <c r="AD52" s="267" t="e">
        <f t="shared" si="28"/>
        <v>#DIV/0!</v>
      </c>
      <c r="AE52" s="113" t="str">
        <f t="shared" si="33"/>
        <v/>
      </c>
      <c r="AF52" s="113" t="str">
        <f t="shared" si="34"/>
        <v/>
      </c>
      <c r="AG52" s="267">
        <f t="shared" si="29"/>
        <v>0</v>
      </c>
    </row>
    <row r="53" spans="1:33" ht="16.899999999999999" customHeight="1" outlineLevel="2">
      <c r="A53" s="193" t="s">
        <v>26</v>
      </c>
      <c r="B53" s="193" t="s">
        <v>103</v>
      </c>
      <c r="C53" s="193" t="s">
        <v>104</v>
      </c>
      <c r="D53" s="193" t="s">
        <v>125</v>
      </c>
      <c r="E53" s="193" t="s">
        <v>125</v>
      </c>
      <c r="F53" s="193" t="s">
        <v>126</v>
      </c>
      <c r="G53" s="235">
        <v>32201</v>
      </c>
      <c r="H53" s="235">
        <v>1366.8899999999999</v>
      </c>
      <c r="I53" s="235">
        <v>150.5</v>
      </c>
      <c r="J53" s="235">
        <v>32201</v>
      </c>
      <c r="K53" s="235">
        <v>5000</v>
      </c>
      <c r="L53" s="235">
        <v>5000</v>
      </c>
      <c r="M53" s="235">
        <v>10000</v>
      </c>
      <c r="N53" s="235">
        <v>10000</v>
      </c>
      <c r="O53" s="235">
        <v>2201</v>
      </c>
      <c r="P53" s="235">
        <v>0</v>
      </c>
      <c r="Q53" s="235">
        <v>0</v>
      </c>
      <c r="R53" s="235">
        <v>0</v>
      </c>
      <c r="S53" s="235">
        <v>0</v>
      </c>
      <c r="T53" s="235">
        <v>0</v>
      </c>
      <c r="U53" s="235">
        <v>0</v>
      </c>
      <c r="V53" s="267">
        <f t="shared" si="18"/>
        <v>32201</v>
      </c>
      <c r="W53" s="267">
        <f t="shared" si="19"/>
        <v>0</v>
      </c>
      <c r="X53" s="267">
        <f t="shared" si="20"/>
        <v>0</v>
      </c>
      <c r="Y53" s="267" t="e">
        <f t="shared" si="26"/>
        <v>#DIV/0!</v>
      </c>
      <c r="Z53" s="113" t="str">
        <f t="shared" si="31"/>
        <v/>
      </c>
      <c r="AA53" s="113" t="str">
        <f t="shared" si="32"/>
        <v/>
      </c>
      <c r="AB53" s="267">
        <f t="shared" si="27"/>
        <v>0</v>
      </c>
      <c r="AC53" s="267">
        <f t="shared" si="23"/>
        <v>0</v>
      </c>
      <c r="AD53" s="267" t="e">
        <f t="shared" si="28"/>
        <v>#DIV/0!</v>
      </c>
      <c r="AE53" s="113" t="str">
        <f t="shared" si="33"/>
        <v/>
      </c>
      <c r="AF53" s="113" t="str">
        <f t="shared" si="34"/>
        <v/>
      </c>
      <c r="AG53" s="267">
        <f t="shared" si="29"/>
        <v>0</v>
      </c>
    </row>
    <row r="54" spans="1:33" ht="16.899999999999999" customHeight="1" outlineLevel="2">
      <c r="A54" s="193" t="s">
        <v>26</v>
      </c>
      <c r="B54" s="193" t="s">
        <v>103</v>
      </c>
      <c r="C54" s="193" t="s">
        <v>104</v>
      </c>
      <c r="D54" s="193" t="s">
        <v>127</v>
      </c>
      <c r="E54" s="193" t="s">
        <v>127</v>
      </c>
      <c r="F54" s="193" t="s">
        <v>128</v>
      </c>
      <c r="G54" s="235">
        <v>42116</v>
      </c>
      <c r="H54" s="235">
        <v>1366.8899999999999</v>
      </c>
      <c r="I54" s="235">
        <v>150.5</v>
      </c>
      <c r="J54" s="235">
        <v>42116</v>
      </c>
      <c r="K54" s="235">
        <v>5000</v>
      </c>
      <c r="L54" s="235">
        <v>5000</v>
      </c>
      <c r="M54" s="235">
        <v>10000</v>
      </c>
      <c r="N54" s="235">
        <v>10000</v>
      </c>
      <c r="O54" s="235">
        <v>10000</v>
      </c>
      <c r="P54" s="235">
        <v>2116</v>
      </c>
      <c r="Q54" s="235">
        <v>0</v>
      </c>
      <c r="R54" s="235">
        <v>0</v>
      </c>
      <c r="S54" s="235">
        <v>0</v>
      </c>
      <c r="T54" s="235">
        <v>0</v>
      </c>
      <c r="U54" s="235">
        <v>0</v>
      </c>
      <c r="V54" s="267">
        <f t="shared" si="18"/>
        <v>42116</v>
      </c>
      <c r="W54" s="267">
        <f t="shared" si="19"/>
        <v>0</v>
      </c>
      <c r="X54" s="267">
        <f t="shared" si="20"/>
        <v>0</v>
      </c>
      <c r="Y54" s="267" t="e">
        <f t="shared" si="26"/>
        <v>#DIV/0!</v>
      </c>
      <c r="Z54" s="113" t="str">
        <f t="shared" si="31"/>
        <v/>
      </c>
      <c r="AA54" s="113" t="str">
        <f t="shared" si="32"/>
        <v/>
      </c>
      <c r="AB54" s="267">
        <f t="shared" si="27"/>
        <v>0</v>
      </c>
      <c r="AC54" s="267">
        <f t="shared" si="23"/>
        <v>0</v>
      </c>
      <c r="AD54" s="267" t="e">
        <f t="shared" si="28"/>
        <v>#DIV/0!</v>
      </c>
      <c r="AE54" s="113" t="str">
        <f t="shared" si="33"/>
        <v/>
      </c>
      <c r="AF54" s="113" t="str">
        <f t="shared" si="34"/>
        <v/>
      </c>
      <c r="AG54" s="267">
        <f t="shared" si="29"/>
        <v>0</v>
      </c>
    </row>
    <row r="55" spans="1:33" ht="16.899999999999999" customHeight="1" outlineLevel="2">
      <c r="A55" s="193" t="s">
        <v>26</v>
      </c>
      <c r="B55" s="193" t="s">
        <v>103</v>
      </c>
      <c r="C55" s="193" t="s">
        <v>104</v>
      </c>
      <c r="D55" s="193" t="s">
        <v>129</v>
      </c>
      <c r="E55" s="193" t="s">
        <v>129</v>
      </c>
      <c r="F55" s="193" t="s">
        <v>130</v>
      </c>
      <c r="G55" s="235">
        <v>31277</v>
      </c>
      <c r="H55" s="235">
        <v>1366.8899999999999</v>
      </c>
      <c r="I55" s="235">
        <v>150.5</v>
      </c>
      <c r="J55" s="235">
        <v>31277</v>
      </c>
      <c r="K55" s="235">
        <v>5000</v>
      </c>
      <c r="L55" s="235">
        <v>5000</v>
      </c>
      <c r="M55" s="235">
        <v>10000</v>
      </c>
      <c r="N55" s="235">
        <v>10000</v>
      </c>
      <c r="O55" s="235">
        <v>1277</v>
      </c>
      <c r="P55" s="235">
        <v>0</v>
      </c>
      <c r="Q55" s="235">
        <v>0</v>
      </c>
      <c r="R55" s="235">
        <v>0</v>
      </c>
      <c r="S55" s="235">
        <v>0</v>
      </c>
      <c r="T55" s="235">
        <v>0</v>
      </c>
      <c r="U55" s="235">
        <v>0</v>
      </c>
      <c r="V55" s="267">
        <f t="shared" si="18"/>
        <v>31277</v>
      </c>
      <c r="W55" s="267">
        <f t="shared" si="19"/>
        <v>0</v>
      </c>
      <c r="X55" s="267">
        <f t="shared" si="20"/>
        <v>0</v>
      </c>
      <c r="Y55" s="267" t="e">
        <f t="shared" si="26"/>
        <v>#DIV/0!</v>
      </c>
      <c r="Z55" s="113" t="str">
        <f t="shared" si="31"/>
        <v/>
      </c>
      <c r="AA55" s="113" t="str">
        <f t="shared" si="32"/>
        <v/>
      </c>
      <c r="AB55" s="267">
        <f t="shared" si="27"/>
        <v>0</v>
      </c>
      <c r="AC55" s="267">
        <f t="shared" si="23"/>
        <v>0</v>
      </c>
      <c r="AD55" s="267" t="e">
        <f t="shared" si="28"/>
        <v>#DIV/0!</v>
      </c>
      <c r="AE55" s="113" t="str">
        <f t="shared" si="33"/>
        <v/>
      </c>
      <c r="AF55" s="113" t="str">
        <f t="shared" si="34"/>
        <v/>
      </c>
      <c r="AG55" s="267">
        <f t="shared" si="29"/>
        <v>0</v>
      </c>
    </row>
    <row r="56" spans="1:33" ht="16.899999999999999" customHeight="1" outlineLevel="2">
      <c r="A56" s="193" t="s">
        <v>26</v>
      </c>
      <c r="B56" s="193" t="s">
        <v>103</v>
      </c>
      <c r="C56" s="193" t="s">
        <v>104</v>
      </c>
      <c r="D56" s="193" t="s">
        <v>131</v>
      </c>
      <c r="E56" s="193" t="s">
        <v>131</v>
      </c>
      <c r="F56" s="193" t="s">
        <v>132</v>
      </c>
      <c r="G56" s="235">
        <v>19889</v>
      </c>
      <c r="H56" s="235">
        <v>1366.8899999999999</v>
      </c>
      <c r="I56" s="235">
        <v>150.5</v>
      </c>
      <c r="J56" s="235">
        <v>19889</v>
      </c>
      <c r="K56" s="235">
        <v>5000</v>
      </c>
      <c r="L56" s="235">
        <v>5000</v>
      </c>
      <c r="M56" s="235">
        <v>9889</v>
      </c>
      <c r="N56" s="235">
        <v>0</v>
      </c>
      <c r="O56" s="235">
        <v>0</v>
      </c>
      <c r="P56" s="235">
        <v>0</v>
      </c>
      <c r="Q56" s="235">
        <v>0</v>
      </c>
      <c r="R56" s="235">
        <v>0</v>
      </c>
      <c r="S56" s="235">
        <v>0</v>
      </c>
      <c r="T56" s="235">
        <v>0</v>
      </c>
      <c r="U56" s="235">
        <v>0</v>
      </c>
      <c r="V56" s="267">
        <f t="shared" si="18"/>
        <v>19889</v>
      </c>
      <c r="W56" s="267">
        <f t="shared" si="19"/>
        <v>0</v>
      </c>
      <c r="X56" s="267">
        <f t="shared" si="20"/>
        <v>0</v>
      </c>
      <c r="Y56" s="267" t="e">
        <f t="shared" si="26"/>
        <v>#DIV/0!</v>
      </c>
      <c r="Z56" s="113" t="str">
        <f t="shared" si="31"/>
        <v/>
      </c>
      <c r="AA56" s="113" t="str">
        <f t="shared" si="32"/>
        <v/>
      </c>
      <c r="AB56" s="267">
        <f t="shared" si="27"/>
        <v>0</v>
      </c>
      <c r="AC56" s="267">
        <f t="shared" si="23"/>
        <v>0</v>
      </c>
      <c r="AD56" s="267" t="e">
        <f t="shared" si="28"/>
        <v>#DIV/0!</v>
      </c>
      <c r="AE56" s="113" t="str">
        <f t="shared" si="33"/>
        <v/>
      </c>
      <c r="AF56" s="113" t="str">
        <f t="shared" si="34"/>
        <v/>
      </c>
      <c r="AG56" s="267">
        <f t="shared" si="29"/>
        <v>0</v>
      </c>
    </row>
    <row r="57" spans="1:33" ht="16.899999999999999" customHeight="1" outlineLevel="1">
      <c r="C57" s="193" t="s">
        <v>266</v>
      </c>
      <c r="G57" s="235">
        <f>SUBTOTAL(9,G43:G56)</f>
        <v>504700</v>
      </c>
      <c r="H57" s="235"/>
      <c r="I57" s="235"/>
      <c r="J57" s="235">
        <f t="shared" ref="J57:Y57" si="35">SUBTOTAL(9,J43:J56)</f>
        <v>504700</v>
      </c>
      <c r="K57" s="235">
        <f t="shared" si="35"/>
        <v>70000</v>
      </c>
      <c r="L57" s="235">
        <f t="shared" si="35"/>
        <v>68844</v>
      </c>
      <c r="M57" s="235">
        <f t="shared" si="35"/>
        <v>128031</v>
      </c>
      <c r="N57" s="235">
        <f t="shared" si="35"/>
        <v>79886</v>
      </c>
      <c r="O57" s="235">
        <f t="shared" si="35"/>
        <v>48874</v>
      </c>
      <c r="P57" s="235">
        <f t="shared" si="35"/>
        <v>29510</v>
      </c>
      <c r="Q57" s="235">
        <f t="shared" si="35"/>
        <v>20000</v>
      </c>
      <c r="R57" s="235">
        <f t="shared" si="35"/>
        <v>56677</v>
      </c>
      <c r="S57" s="235">
        <f t="shared" si="35"/>
        <v>2878</v>
      </c>
      <c r="T57" s="235">
        <f t="shared" si="35"/>
        <v>0</v>
      </c>
      <c r="U57" s="235">
        <f t="shared" si="35"/>
        <v>0</v>
      </c>
      <c r="V57" s="267">
        <f t="shared" si="35"/>
        <v>504700</v>
      </c>
      <c r="W57" s="267">
        <f t="shared" si="35"/>
        <v>0</v>
      </c>
      <c r="X57" s="267">
        <f t="shared" si="35"/>
        <v>0</v>
      </c>
      <c r="Y57" s="267" t="e">
        <f t="shared" si="35"/>
        <v>#DIV/0!</v>
      </c>
      <c r="Z57" s="235"/>
      <c r="AA57" s="235"/>
      <c r="AB57" s="267">
        <f>SUBTOTAL(9,AB43:AB56)</f>
        <v>0</v>
      </c>
      <c r="AC57" s="267">
        <f>SUBTOTAL(9,AC43:AC56)</f>
        <v>0</v>
      </c>
      <c r="AD57" s="267" t="e">
        <f>SUBTOTAL(9,AD43:AD56)</f>
        <v>#DIV/0!</v>
      </c>
      <c r="AE57" s="235"/>
      <c r="AF57" s="235"/>
      <c r="AG57" s="267">
        <f>SUBTOTAL(9,AG43:AG56)</f>
        <v>0</v>
      </c>
    </row>
    <row r="58" spans="1:33" ht="16.899999999999999" customHeight="1" outlineLevel="2">
      <c r="A58" s="193" t="s">
        <v>26</v>
      </c>
      <c r="B58" s="193" t="s">
        <v>133</v>
      </c>
      <c r="C58" s="193" t="s">
        <v>134</v>
      </c>
      <c r="D58" s="193" t="s">
        <v>135</v>
      </c>
      <c r="E58" s="193" t="s">
        <v>135</v>
      </c>
      <c r="F58" s="193" t="s">
        <v>136</v>
      </c>
      <c r="G58" s="235">
        <v>113184</v>
      </c>
      <c r="H58" s="235">
        <v>1351.54</v>
      </c>
      <c r="I58" s="235">
        <v>149.94</v>
      </c>
      <c r="J58" s="235">
        <v>113184</v>
      </c>
      <c r="K58" s="235">
        <v>5000</v>
      </c>
      <c r="L58" s="235">
        <v>5000</v>
      </c>
      <c r="M58" s="235">
        <v>10000</v>
      </c>
      <c r="N58" s="235">
        <v>10000</v>
      </c>
      <c r="O58" s="235">
        <v>10000</v>
      </c>
      <c r="P58" s="235">
        <v>10000</v>
      </c>
      <c r="Q58" s="235">
        <v>10000</v>
      </c>
      <c r="R58" s="235">
        <v>30000</v>
      </c>
      <c r="S58" s="235">
        <v>23184</v>
      </c>
      <c r="T58" s="235">
        <v>0</v>
      </c>
      <c r="U58" s="235">
        <v>0</v>
      </c>
      <c r="V58" s="267">
        <f t="shared" si="18"/>
        <v>113184</v>
      </c>
      <c r="W58" s="267">
        <f t="shared" si="19"/>
        <v>0</v>
      </c>
      <c r="X58" s="267">
        <f t="shared" si="20"/>
        <v>0</v>
      </c>
      <c r="Y58" s="267" t="e">
        <f t="shared" si="26"/>
        <v>#DIV/0!</v>
      </c>
      <c r="Z58" s="113" t="str">
        <f t="shared" ref="Z58:Z66" si="36">IFERROR(Y58/V58,"")</f>
        <v/>
      </c>
      <c r="AA58" s="113" t="str">
        <f t="shared" ref="AA58:AA66" si="37">INDEX(Z$5:Z$99,MATCH($D58,$E$5:$E$99,0))</f>
        <v/>
      </c>
      <c r="AB58" s="267">
        <f t="shared" si="27"/>
        <v>0</v>
      </c>
      <c r="AC58" s="267">
        <f t="shared" si="23"/>
        <v>0</v>
      </c>
      <c r="AD58" s="267" t="e">
        <f t="shared" si="28"/>
        <v>#DIV/0!</v>
      </c>
      <c r="AE58" s="113" t="str">
        <f t="shared" ref="AE58:AE66" si="38">IFERROR(AD58/V58,"")</f>
        <v/>
      </c>
      <c r="AF58" s="113" t="str">
        <f t="shared" ref="AF58:AF66" si="39">INDEX(AE$5:AE$99,MATCH($D58,E$5:E$99,0))</f>
        <v/>
      </c>
      <c r="AG58" s="267">
        <f t="shared" si="29"/>
        <v>0</v>
      </c>
    </row>
    <row r="59" spans="1:33" ht="16.899999999999999" customHeight="1" outlineLevel="2">
      <c r="A59" s="193" t="s">
        <v>26</v>
      </c>
      <c r="B59" s="193" t="s">
        <v>133</v>
      </c>
      <c r="C59" s="193" t="s">
        <v>134</v>
      </c>
      <c r="D59" s="193" t="s">
        <v>137</v>
      </c>
      <c r="E59" s="193" t="s">
        <v>137</v>
      </c>
      <c r="F59" s="193" t="s">
        <v>138</v>
      </c>
      <c r="G59" s="235">
        <v>59426</v>
      </c>
      <c r="H59" s="235">
        <v>1351.54</v>
      </c>
      <c r="I59" s="235">
        <v>149.94</v>
      </c>
      <c r="J59" s="235">
        <v>59426</v>
      </c>
      <c r="K59" s="235">
        <v>5000</v>
      </c>
      <c r="L59" s="235">
        <v>5000</v>
      </c>
      <c r="M59" s="235">
        <v>10000</v>
      </c>
      <c r="N59" s="235">
        <v>10000</v>
      </c>
      <c r="O59" s="235">
        <v>10000</v>
      </c>
      <c r="P59" s="235">
        <v>10000</v>
      </c>
      <c r="Q59" s="235">
        <v>9426</v>
      </c>
      <c r="R59" s="235">
        <v>0</v>
      </c>
      <c r="S59" s="235">
        <v>0</v>
      </c>
      <c r="T59" s="235">
        <v>0</v>
      </c>
      <c r="U59" s="235">
        <v>0</v>
      </c>
      <c r="V59" s="267">
        <f t="shared" si="18"/>
        <v>59426</v>
      </c>
      <c r="W59" s="267">
        <f t="shared" si="19"/>
        <v>0</v>
      </c>
      <c r="X59" s="267">
        <f t="shared" si="20"/>
        <v>0</v>
      </c>
      <c r="Y59" s="267" t="e">
        <f t="shared" si="26"/>
        <v>#DIV/0!</v>
      </c>
      <c r="Z59" s="113" t="str">
        <f t="shared" si="36"/>
        <v/>
      </c>
      <c r="AA59" s="113" t="str">
        <f t="shared" si="37"/>
        <v/>
      </c>
      <c r="AB59" s="267">
        <f t="shared" si="27"/>
        <v>0</v>
      </c>
      <c r="AC59" s="267">
        <f t="shared" si="23"/>
        <v>0</v>
      </c>
      <c r="AD59" s="267" t="e">
        <f t="shared" si="28"/>
        <v>#DIV/0!</v>
      </c>
      <c r="AE59" s="113" t="str">
        <f t="shared" si="38"/>
        <v/>
      </c>
      <c r="AF59" s="113" t="str">
        <f t="shared" si="39"/>
        <v/>
      </c>
      <c r="AG59" s="267">
        <f t="shared" si="29"/>
        <v>0</v>
      </c>
    </row>
    <row r="60" spans="1:33" ht="16.899999999999999" customHeight="1" outlineLevel="2">
      <c r="A60" s="193" t="s">
        <v>26</v>
      </c>
      <c r="B60" s="193" t="s">
        <v>133</v>
      </c>
      <c r="C60" s="193" t="s">
        <v>134</v>
      </c>
      <c r="D60" s="193" t="s">
        <v>139</v>
      </c>
      <c r="E60" s="193" t="s">
        <v>139</v>
      </c>
      <c r="F60" s="193" t="s">
        <v>140</v>
      </c>
      <c r="G60" s="235">
        <v>23573</v>
      </c>
      <c r="H60" s="235">
        <v>1351.54</v>
      </c>
      <c r="I60" s="235">
        <v>149.94</v>
      </c>
      <c r="J60" s="235">
        <v>23573</v>
      </c>
      <c r="K60" s="235">
        <v>5000</v>
      </c>
      <c r="L60" s="235">
        <v>5000</v>
      </c>
      <c r="M60" s="235">
        <v>10000</v>
      </c>
      <c r="N60" s="235">
        <v>3573</v>
      </c>
      <c r="O60" s="235">
        <v>0</v>
      </c>
      <c r="P60" s="235">
        <v>0</v>
      </c>
      <c r="Q60" s="235">
        <v>0</v>
      </c>
      <c r="R60" s="235">
        <v>0</v>
      </c>
      <c r="S60" s="235">
        <v>0</v>
      </c>
      <c r="T60" s="235">
        <v>0</v>
      </c>
      <c r="U60" s="235">
        <v>0</v>
      </c>
      <c r="V60" s="267">
        <f t="shared" si="18"/>
        <v>23573</v>
      </c>
      <c r="W60" s="267">
        <f t="shared" si="19"/>
        <v>0</v>
      </c>
      <c r="X60" s="267">
        <f t="shared" si="20"/>
        <v>0</v>
      </c>
      <c r="Y60" s="267" t="e">
        <f t="shared" si="26"/>
        <v>#DIV/0!</v>
      </c>
      <c r="Z60" s="113" t="str">
        <f t="shared" si="36"/>
        <v/>
      </c>
      <c r="AA60" s="113" t="str">
        <f t="shared" si="37"/>
        <v/>
      </c>
      <c r="AB60" s="267">
        <f t="shared" si="27"/>
        <v>0</v>
      </c>
      <c r="AC60" s="267">
        <f t="shared" si="23"/>
        <v>0</v>
      </c>
      <c r="AD60" s="267" t="e">
        <f t="shared" si="28"/>
        <v>#DIV/0!</v>
      </c>
      <c r="AE60" s="113" t="str">
        <f t="shared" si="38"/>
        <v/>
      </c>
      <c r="AF60" s="113" t="str">
        <f t="shared" si="39"/>
        <v/>
      </c>
      <c r="AG60" s="267">
        <f t="shared" si="29"/>
        <v>0</v>
      </c>
    </row>
    <row r="61" spans="1:33" ht="16.899999999999999" customHeight="1" outlineLevel="2">
      <c r="A61" s="193" t="s">
        <v>26</v>
      </c>
      <c r="B61" s="193" t="s">
        <v>133</v>
      </c>
      <c r="C61" s="193" t="s">
        <v>134</v>
      </c>
      <c r="D61" s="193" t="s">
        <v>141</v>
      </c>
      <c r="E61" s="193" t="s">
        <v>141</v>
      </c>
      <c r="F61" s="193" t="s">
        <v>142</v>
      </c>
      <c r="G61" s="235">
        <v>20766</v>
      </c>
      <c r="H61" s="235">
        <v>1351.54</v>
      </c>
      <c r="I61" s="235">
        <v>149.94</v>
      </c>
      <c r="J61" s="235">
        <v>20766</v>
      </c>
      <c r="K61" s="235">
        <v>5000</v>
      </c>
      <c r="L61" s="235">
        <v>5000</v>
      </c>
      <c r="M61" s="235">
        <v>10000</v>
      </c>
      <c r="N61" s="235">
        <v>766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  <c r="U61" s="235">
        <v>0</v>
      </c>
      <c r="V61" s="267">
        <f t="shared" si="18"/>
        <v>20766</v>
      </c>
      <c r="W61" s="267">
        <f t="shared" si="19"/>
        <v>0</v>
      </c>
      <c r="X61" s="267">
        <f t="shared" si="20"/>
        <v>0</v>
      </c>
      <c r="Y61" s="267" t="e">
        <f t="shared" si="26"/>
        <v>#DIV/0!</v>
      </c>
      <c r="Z61" s="113" t="str">
        <f t="shared" si="36"/>
        <v/>
      </c>
      <c r="AA61" s="113" t="str">
        <f t="shared" si="37"/>
        <v/>
      </c>
      <c r="AB61" s="267">
        <f t="shared" si="27"/>
        <v>0</v>
      </c>
      <c r="AC61" s="267">
        <f t="shared" si="23"/>
        <v>0</v>
      </c>
      <c r="AD61" s="267" t="e">
        <f t="shared" si="28"/>
        <v>#DIV/0!</v>
      </c>
      <c r="AE61" s="113" t="str">
        <f t="shared" si="38"/>
        <v/>
      </c>
      <c r="AF61" s="113" t="str">
        <f t="shared" si="39"/>
        <v/>
      </c>
      <c r="AG61" s="267">
        <f t="shared" si="29"/>
        <v>0</v>
      </c>
    </row>
    <row r="62" spans="1:33" ht="16.899999999999999" customHeight="1" outlineLevel="2">
      <c r="A62" s="193" t="s">
        <v>26</v>
      </c>
      <c r="B62" s="193" t="s">
        <v>133</v>
      </c>
      <c r="C62" s="193" t="s">
        <v>134</v>
      </c>
      <c r="D62" s="193" t="s">
        <v>143</v>
      </c>
      <c r="E62" s="193" t="s">
        <v>143</v>
      </c>
      <c r="F62" s="193" t="s">
        <v>144</v>
      </c>
      <c r="G62" s="235">
        <v>63797</v>
      </c>
      <c r="H62" s="235">
        <v>1351.54</v>
      </c>
      <c r="I62" s="235">
        <v>149.94</v>
      </c>
      <c r="J62" s="235">
        <v>63797</v>
      </c>
      <c r="K62" s="235">
        <v>5000</v>
      </c>
      <c r="L62" s="235">
        <v>5000</v>
      </c>
      <c r="M62" s="235">
        <v>10000</v>
      </c>
      <c r="N62" s="235">
        <v>10000</v>
      </c>
      <c r="O62" s="235">
        <v>10000</v>
      </c>
      <c r="P62" s="235">
        <v>10000</v>
      </c>
      <c r="Q62" s="235">
        <v>10000</v>
      </c>
      <c r="R62" s="235">
        <v>3797</v>
      </c>
      <c r="S62" s="235">
        <v>0</v>
      </c>
      <c r="T62" s="235">
        <v>0</v>
      </c>
      <c r="U62" s="235">
        <v>0</v>
      </c>
      <c r="V62" s="267">
        <f t="shared" si="18"/>
        <v>63797</v>
      </c>
      <c r="W62" s="267">
        <f t="shared" si="19"/>
        <v>0</v>
      </c>
      <c r="X62" s="267">
        <f t="shared" si="20"/>
        <v>0</v>
      </c>
      <c r="Y62" s="267" t="e">
        <f t="shared" si="26"/>
        <v>#DIV/0!</v>
      </c>
      <c r="Z62" s="113" t="str">
        <f t="shared" si="36"/>
        <v/>
      </c>
      <c r="AA62" s="113" t="str">
        <f t="shared" si="37"/>
        <v/>
      </c>
      <c r="AB62" s="267">
        <f t="shared" si="27"/>
        <v>0</v>
      </c>
      <c r="AC62" s="267">
        <f t="shared" si="23"/>
        <v>0</v>
      </c>
      <c r="AD62" s="267" t="e">
        <f t="shared" si="28"/>
        <v>#DIV/0!</v>
      </c>
      <c r="AE62" s="113" t="str">
        <f t="shared" si="38"/>
        <v/>
      </c>
      <c r="AF62" s="113" t="str">
        <f t="shared" si="39"/>
        <v/>
      </c>
      <c r="AG62" s="267">
        <f t="shared" si="29"/>
        <v>0</v>
      </c>
    </row>
    <row r="63" spans="1:33" ht="16.899999999999999" customHeight="1" outlineLevel="2">
      <c r="A63" s="193" t="s">
        <v>26</v>
      </c>
      <c r="B63" s="193" t="s">
        <v>133</v>
      </c>
      <c r="C63" s="193" t="s">
        <v>134</v>
      </c>
      <c r="D63" s="193" t="s">
        <v>145</v>
      </c>
      <c r="E63" s="193" t="s">
        <v>145</v>
      </c>
      <c r="F63" s="193" t="s">
        <v>146</v>
      </c>
      <c r="G63" s="235">
        <v>20286</v>
      </c>
      <c r="H63" s="235">
        <v>1351.54</v>
      </c>
      <c r="I63" s="235">
        <v>149.94</v>
      </c>
      <c r="J63" s="235">
        <v>20286</v>
      </c>
      <c r="K63" s="235">
        <v>5000</v>
      </c>
      <c r="L63" s="235">
        <v>5000</v>
      </c>
      <c r="M63" s="235">
        <v>10000</v>
      </c>
      <c r="N63" s="235">
        <v>286</v>
      </c>
      <c r="O63" s="235">
        <v>0</v>
      </c>
      <c r="P63" s="235">
        <v>0</v>
      </c>
      <c r="Q63" s="235">
        <v>0</v>
      </c>
      <c r="R63" s="235">
        <v>0</v>
      </c>
      <c r="S63" s="235">
        <v>0</v>
      </c>
      <c r="T63" s="235">
        <v>0</v>
      </c>
      <c r="U63" s="235">
        <v>0</v>
      </c>
      <c r="V63" s="267">
        <f t="shared" si="18"/>
        <v>20286</v>
      </c>
      <c r="W63" s="267">
        <f t="shared" si="19"/>
        <v>0</v>
      </c>
      <c r="X63" s="267">
        <f t="shared" si="20"/>
        <v>0</v>
      </c>
      <c r="Y63" s="267" t="e">
        <f t="shared" si="26"/>
        <v>#DIV/0!</v>
      </c>
      <c r="Z63" s="113" t="str">
        <f t="shared" si="36"/>
        <v/>
      </c>
      <c r="AA63" s="113" t="str">
        <f t="shared" si="37"/>
        <v/>
      </c>
      <c r="AB63" s="267">
        <f t="shared" si="27"/>
        <v>0</v>
      </c>
      <c r="AC63" s="267">
        <f t="shared" si="23"/>
        <v>0</v>
      </c>
      <c r="AD63" s="267" t="e">
        <f t="shared" si="28"/>
        <v>#DIV/0!</v>
      </c>
      <c r="AE63" s="113" t="str">
        <f t="shared" si="38"/>
        <v/>
      </c>
      <c r="AF63" s="113" t="str">
        <f t="shared" si="39"/>
        <v/>
      </c>
      <c r="AG63" s="267">
        <f t="shared" si="29"/>
        <v>0</v>
      </c>
    </row>
    <row r="64" spans="1:33" ht="16.899999999999999" customHeight="1" outlineLevel="2">
      <c r="A64" s="193" t="s">
        <v>26</v>
      </c>
      <c r="B64" s="193" t="s">
        <v>133</v>
      </c>
      <c r="C64" s="193" t="s">
        <v>134</v>
      </c>
      <c r="D64" s="193" t="s">
        <v>147</v>
      </c>
      <c r="E64" s="193" t="s">
        <v>147</v>
      </c>
      <c r="F64" s="193" t="s">
        <v>148</v>
      </c>
      <c r="G64" s="235">
        <v>12008</v>
      </c>
      <c r="H64" s="235">
        <v>1351.54</v>
      </c>
      <c r="I64" s="235">
        <v>149.94</v>
      </c>
      <c r="J64" s="235">
        <v>12008</v>
      </c>
      <c r="K64" s="235">
        <v>5000</v>
      </c>
      <c r="L64" s="235">
        <v>5000</v>
      </c>
      <c r="M64" s="235">
        <v>2008</v>
      </c>
      <c r="N64" s="235">
        <v>0</v>
      </c>
      <c r="O64" s="235">
        <v>0</v>
      </c>
      <c r="P64" s="235">
        <v>0</v>
      </c>
      <c r="Q64" s="235">
        <v>0</v>
      </c>
      <c r="R64" s="235">
        <v>0</v>
      </c>
      <c r="S64" s="235">
        <v>0</v>
      </c>
      <c r="T64" s="235">
        <v>0</v>
      </c>
      <c r="U64" s="235">
        <v>0</v>
      </c>
      <c r="V64" s="267">
        <f t="shared" si="18"/>
        <v>12008</v>
      </c>
      <c r="W64" s="267">
        <f t="shared" si="19"/>
        <v>0</v>
      </c>
      <c r="X64" s="267">
        <f t="shared" si="20"/>
        <v>0</v>
      </c>
      <c r="Y64" s="267" t="e">
        <f t="shared" si="26"/>
        <v>#DIV/0!</v>
      </c>
      <c r="Z64" s="113" t="str">
        <f t="shared" si="36"/>
        <v/>
      </c>
      <c r="AA64" s="113" t="str">
        <f t="shared" si="37"/>
        <v/>
      </c>
      <c r="AB64" s="267">
        <f t="shared" si="27"/>
        <v>0</v>
      </c>
      <c r="AC64" s="267">
        <f t="shared" si="23"/>
        <v>0</v>
      </c>
      <c r="AD64" s="267" t="e">
        <f t="shared" si="28"/>
        <v>#DIV/0!</v>
      </c>
      <c r="AE64" s="113" t="str">
        <f t="shared" si="38"/>
        <v/>
      </c>
      <c r="AF64" s="113" t="str">
        <f t="shared" si="39"/>
        <v/>
      </c>
      <c r="AG64" s="267">
        <f t="shared" si="29"/>
        <v>0</v>
      </c>
    </row>
    <row r="65" spans="1:33" ht="16.899999999999999" customHeight="1" outlineLevel="2">
      <c r="A65" s="193" t="s">
        <v>26</v>
      </c>
      <c r="B65" s="193" t="s">
        <v>133</v>
      </c>
      <c r="C65" s="193" t="s">
        <v>134</v>
      </c>
      <c r="D65" s="193" t="s">
        <v>149</v>
      </c>
      <c r="E65" s="193" t="s">
        <v>149</v>
      </c>
      <c r="F65" s="193" t="s">
        <v>150</v>
      </c>
      <c r="G65" s="235">
        <v>36674</v>
      </c>
      <c r="H65" s="235">
        <v>1351.54</v>
      </c>
      <c r="I65" s="235">
        <v>149.94</v>
      </c>
      <c r="J65" s="235">
        <v>36674</v>
      </c>
      <c r="K65" s="235">
        <v>5000</v>
      </c>
      <c r="L65" s="235">
        <v>5000</v>
      </c>
      <c r="M65" s="235">
        <v>10000</v>
      </c>
      <c r="N65" s="235">
        <v>10000</v>
      </c>
      <c r="O65" s="235">
        <v>6674</v>
      </c>
      <c r="P65" s="235">
        <v>0</v>
      </c>
      <c r="Q65" s="235">
        <v>0</v>
      </c>
      <c r="R65" s="235">
        <v>0</v>
      </c>
      <c r="S65" s="235">
        <v>0</v>
      </c>
      <c r="T65" s="235">
        <v>0</v>
      </c>
      <c r="U65" s="235">
        <v>0</v>
      </c>
      <c r="V65" s="267">
        <f t="shared" si="18"/>
        <v>36674</v>
      </c>
      <c r="W65" s="267">
        <f t="shared" si="19"/>
        <v>0</v>
      </c>
      <c r="X65" s="267">
        <f t="shared" si="20"/>
        <v>0</v>
      </c>
      <c r="Y65" s="267" t="e">
        <f t="shared" si="26"/>
        <v>#DIV/0!</v>
      </c>
      <c r="Z65" s="113" t="str">
        <f t="shared" si="36"/>
        <v/>
      </c>
      <c r="AA65" s="113" t="str">
        <f t="shared" si="37"/>
        <v/>
      </c>
      <c r="AB65" s="267">
        <f t="shared" si="27"/>
        <v>0</v>
      </c>
      <c r="AC65" s="267">
        <f t="shared" si="23"/>
        <v>0</v>
      </c>
      <c r="AD65" s="267" t="e">
        <f t="shared" si="28"/>
        <v>#DIV/0!</v>
      </c>
      <c r="AE65" s="113" t="str">
        <f t="shared" si="38"/>
        <v/>
      </c>
      <c r="AF65" s="113" t="str">
        <f t="shared" si="39"/>
        <v/>
      </c>
      <c r="AG65" s="267">
        <f t="shared" si="29"/>
        <v>0</v>
      </c>
    </row>
    <row r="66" spans="1:33" ht="16.899999999999999" customHeight="1" outlineLevel="2">
      <c r="A66" s="193" t="s">
        <v>26</v>
      </c>
      <c r="B66" s="193" t="s">
        <v>133</v>
      </c>
      <c r="C66" s="193" t="s">
        <v>134</v>
      </c>
      <c r="D66" s="193" t="s">
        <v>151</v>
      </c>
      <c r="E66" s="193" t="s">
        <v>151</v>
      </c>
      <c r="F66" s="193" t="s">
        <v>152</v>
      </c>
      <c r="G66" s="235">
        <v>29211</v>
      </c>
      <c r="H66" s="235">
        <v>1351.54</v>
      </c>
      <c r="I66" s="235">
        <v>149.94</v>
      </c>
      <c r="J66" s="235">
        <v>29211</v>
      </c>
      <c r="K66" s="235">
        <v>5000</v>
      </c>
      <c r="L66" s="235">
        <v>5000</v>
      </c>
      <c r="M66" s="235">
        <v>10000</v>
      </c>
      <c r="N66" s="235">
        <v>9211</v>
      </c>
      <c r="O66" s="235">
        <v>0</v>
      </c>
      <c r="P66" s="235">
        <v>0</v>
      </c>
      <c r="Q66" s="235">
        <v>0</v>
      </c>
      <c r="R66" s="235">
        <v>0</v>
      </c>
      <c r="S66" s="235">
        <v>0</v>
      </c>
      <c r="T66" s="235">
        <v>0</v>
      </c>
      <c r="U66" s="235">
        <v>0</v>
      </c>
      <c r="V66" s="267">
        <f t="shared" si="18"/>
        <v>29211</v>
      </c>
      <c r="W66" s="267">
        <f t="shared" si="19"/>
        <v>0</v>
      </c>
      <c r="X66" s="267">
        <f t="shared" si="20"/>
        <v>0</v>
      </c>
      <c r="Y66" s="267" t="e">
        <f t="shared" si="26"/>
        <v>#DIV/0!</v>
      </c>
      <c r="Z66" s="113" t="str">
        <f t="shared" si="36"/>
        <v/>
      </c>
      <c r="AA66" s="113" t="str">
        <f t="shared" si="37"/>
        <v/>
      </c>
      <c r="AB66" s="267">
        <f t="shared" si="27"/>
        <v>0</v>
      </c>
      <c r="AC66" s="267">
        <f t="shared" si="23"/>
        <v>0</v>
      </c>
      <c r="AD66" s="267" t="e">
        <f t="shared" si="28"/>
        <v>#DIV/0!</v>
      </c>
      <c r="AE66" s="113" t="str">
        <f t="shared" si="38"/>
        <v/>
      </c>
      <c r="AF66" s="113" t="str">
        <f t="shared" si="39"/>
        <v/>
      </c>
      <c r="AG66" s="267">
        <f t="shared" si="29"/>
        <v>0</v>
      </c>
    </row>
    <row r="67" spans="1:33" ht="16.899999999999999" customHeight="1" outlineLevel="1">
      <c r="C67" s="193" t="s">
        <v>267</v>
      </c>
      <c r="G67" s="235">
        <f>SUBTOTAL(9,G58:G66)</f>
        <v>378925</v>
      </c>
      <c r="H67" s="235"/>
      <c r="I67" s="235"/>
      <c r="J67" s="235">
        <f t="shared" ref="J67:Y67" si="40">SUBTOTAL(9,J58:J66)</f>
        <v>378925</v>
      </c>
      <c r="K67" s="235">
        <f t="shared" si="40"/>
        <v>45000</v>
      </c>
      <c r="L67" s="235">
        <f t="shared" si="40"/>
        <v>45000</v>
      </c>
      <c r="M67" s="235">
        <f t="shared" si="40"/>
        <v>82008</v>
      </c>
      <c r="N67" s="235">
        <f t="shared" si="40"/>
        <v>53836</v>
      </c>
      <c r="O67" s="235">
        <f t="shared" si="40"/>
        <v>36674</v>
      </c>
      <c r="P67" s="235">
        <f t="shared" si="40"/>
        <v>30000</v>
      </c>
      <c r="Q67" s="235">
        <f t="shared" si="40"/>
        <v>29426</v>
      </c>
      <c r="R67" s="235">
        <f t="shared" si="40"/>
        <v>33797</v>
      </c>
      <c r="S67" s="235">
        <f t="shared" si="40"/>
        <v>23184</v>
      </c>
      <c r="T67" s="235">
        <f t="shared" si="40"/>
        <v>0</v>
      </c>
      <c r="U67" s="235">
        <f t="shared" si="40"/>
        <v>0</v>
      </c>
      <c r="V67" s="267">
        <f t="shared" si="40"/>
        <v>378925</v>
      </c>
      <c r="W67" s="267">
        <f t="shared" si="40"/>
        <v>0</v>
      </c>
      <c r="X67" s="267">
        <f t="shared" si="40"/>
        <v>0</v>
      </c>
      <c r="Y67" s="267" t="e">
        <f t="shared" si="40"/>
        <v>#DIV/0!</v>
      </c>
      <c r="Z67" s="235"/>
      <c r="AA67" s="235"/>
      <c r="AB67" s="267">
        <f>SUBTOTAL(9,AB58:AB66)</f>
        <v>0</v>
      </c>
      <c r="AC67" s="267">
        <f>SUBTOTAL(9,AC58:AC66)</f>
        <v>0</v>
      </c>
      <c r="AD67" s="267" t="e">
        <f>SUBTOTAL(9,AD58:AD66)</f>
        <v>#DIV/0!</v>
      </c>
      <c r="AE67" s="235"/>
      <c r="AF67" s="235"/>
      <c r="AG67" s="267">
        <f>SUBTOTAL(9,AG58:AG66)</f>
        <v>0</v>
      </c>
    </row>
    <row r="68" spans="1:33" ht="16.899999999999999" customHeight="1" outlineLevel="2">
      <c r="A68" s="193" t="s">
        <v>26</v>
      </c>
      <c r="B68" s="193" t="s">
        <v>153</v>
      </c>
      <c r="C68" s="193" t="s">
        <v>154</v>
      </c>
      <c r="D68" s="193" t="s">
        <v>155</v>
      </c>
      <c r="E68" s="193" t="s">
        <v>155</v>
      </c>
      <c r="F68" s="193" t="s">
        <v>156</v>
      </c>
      <c r="G68" s="235">
        <v>144189</v>
      </c>
      <c r="H68" s="235">
        <v>1300.8600000000001</v>
      </c>
      <c r="I68" s="235">
        <v>148.66</v>
      </c>
      <c r="J68" s="235">
        <v>144189</v>
      </c>
      <c r="K68" s="235">
        <v>5000</v>
      </c>
      <c r="L68" s="235">
        <v>5000</v>
      </c>
      <c r="M68" s="235">
        <v>10000</v>
      </c>
      <c r="N68" s="235">
        <v>10000</v>
      </c>
      <c r="O68" s="235">
        <v>10000</v>
      </c>
      <c r="P68" s="235">
        <v>10000</v>
      </c>
      <c r="Q68" s="235">
        <v>10000</v>
      </c>
      <c r="R68" s="235">
        <v>30000</v>
      </c>
      <c r="S68" s="235">
        <v>30000</v>
      </c>
      <c r="T68" s="235">
        <v>24189</v>
      </c>
      <c r="U68" s="235">
        <v>0</v>
      </c>
      <c r="V68" s="267">
        <f t="shared" si="18"/>
        <v>144189</v>
      </c>
      <c r="W68" s="267">
        <f t="shared" si="19"/>
        <v>0</v>
      </c>
      <c r="X68" s="267">
        <f t="shared" si="20"/>
        <v>0</v>
      </c>
      <c r="Y68" s="267" t="e">
        <f t="shared" si="26"/>
        <v>#DIV/0!</v>
      </c>
      <c r="Z68" s="113" t="str">
        <f t="shared" ref="Z68:Z85" si="41">IFERROR(Y68/V68,"")</f>
        <v/>
      </c>
      <c r="AA68" s="113" t="str">
        <f t="shared" ref="AA68:AA85" si="42">INDEX(Z$5:Z$99,MATCH($D68,$E$5:$E$99,0))</f>
        <v/>
      </c>
      <c r="AB68" s="267">
        <f t="shared" si="27"/>
        <v>0</v>
      </c>
      <c r="AC68" s="267">
        <f t="shared" si="23"/>
        <v>0</v>
      </c>
      <c r="AD68" s="267" t="e">
        <f t="shared" si="28"/>
        <v>#DIV/0!</v>
      </c>
      <c r="AE68" s="113" t="str">
        <f t="shared" ref="AE68:AE85" si="43">IFERROR(AD68/V68,"")</f>
        <v/>
      </c>
      <c r="AF68" s="113" t="str">
        <f t="shared" ref="AF68:AF85" si="44">INDEX(AE$5:AE$99,MATCH($D68,E$5:E$99,0))</f>
        <v/>
      </c>
      <c r="AG68" s="267">
        <f t="shared" si="29"/>
        <v>0</v>
      </c>
    </row>
    <row r="69" spans="1:33" ht="16.899999999999999" customHeight="1" outlineLevel="2">
      <c r="A69" s="193" t="s">
        <v>26</v>
      </c>
      <c r="B69" s="193" t="s">
        <v>153</v>
      </c>
      <c r="C69" s="193" t="s">
        <v>154</v>
      </c>
      <c r="D69" s="193" t="s">
        <v>157</v>
      </c>
      <c r="E69" s="193" t="s">
        <v>157</v>
      </c>
      <c r="F69" s="193" t="s">
        <v>158</v>
      </c>
      <c r="G69" s="235">
        <v>36206</v>
      </c>
      <c r="H69" s="235">
        <v>1300.8600000000001</v>
      </c>
      <c r="I69" s="235">
        <v>148.66</v>
      </c>
      <c r="J69" s="235">
        <v>36206</v>
      </c>
      <c r="K69" s="235">
        <v>5000</v>
      </c>
      <c r="L69" s="235">
        <v>5000</v>
      </c>
      <c r="M69" s="235">
        <v>10000</v>
      </c>
      <c r="N69" s="235">
        <v>10000</v>
      </c>
      <c r="O69" s="235">
        <v>6206</v>
      </c>
      <c r="P69" s="235">
        <v>0</v>
      </c>
      <c r="Q69" s="235">
        <v>0</v>
      </c>
      <c r="R69" s="235">
        <v>0</v>
      </c>
      <c r="S69" s="235">
        <v>0</v>
      </c>
      <c r="T69" s="235">
        <v>0</v>
      </c>
      <c r="U69" s="235">
        <v>0</v>
      </c>
      <c r="V69" s="267">
        <f t="shared" si="18"/>
        <v>36206</v>
      </c>
      <c r="W69" s="267">
        <f t="shared" si="19"/>
        <v>0</v>
      </c>
      <c r="X69" s="267">
        <f t="shared" si="20"/>
        <v>0</v>
      </c>
      <c r="Y69" s="267" t="e">
        <f t="shared" si="26"/>
        <v>#DIV/0!</v>
      </c>
      <c r="Z69" s="113" t="str">
        <f t="shared" si="41"/>
        <v/>
      </c>
      <c r="AA69" s="113" t="str">
        <f t="shared" si="42"/>
        <v/>
      </c>
      <c r="AB69" s="267">
        <f t="shared" si="27"/>
        <v>0</v>
      </c>
      <c r="AC69" s="267">
        <f t="shared" si="23"/>
        <v>0</v>
      </c>
      <c r="AD69" s="267" t="e">
        <f t="shared" si="28"/>
        <v>#DIV/0!</v>
      </c>
      <c r="AE69" s="113" t="str">
        <f t="shared" si="43"/>
        <v/>
      </c>
      <c r="AF69" s="113" t="str">
        <f t="shared" si="44"/>
        <v/>
      </c>
      <c r="AG69" s="267">
        <f t="shared" si="29"/>
        <v>0</v>
      </c>
    </row>
    <row r="70" spans="1:33" ht="16.899999999999999" customHeight="1" outlineLevel="2">
      <c r="A70" s="193" t="s">
        <v>26</v>
      </c>
      <c r="B70" s="193" t="s">
        <v>153</v>
      </c>
      <c r="C70" s="193" t="s">
        <v>154</v>
      </c>
      <c r="D70" s="193" t="s">
        <v>159</v>
      </c>
      <c r="E70" s="193" t="s">
        <v>159</v>
      </c>
      <c r="F70" s="193" t="s">
        <v>160</v>
      </c>
      <c r="G70" s="235">
        <v>24217</v>
      </c>
      <c r="H70" s="235">
        <v>1300.8600000000001</v>
      </c>
      <c r="I70" s="235">
        <v>148.66</v>
      </c>
      <c r="J70" s="235">
        <v>24217</v>
      </c>
      <c r="K70" s="235">
        <v>5000</v>
      </c>
      <c r="L70" s="235">
        <v>5000</v>
      </c>
      <c r="M70" s="235">
        <v>10000</v>
      </c>
      <c r="N70" s="235">
        <v>4217</v>
      </c>
      <c r="O70" s="235">
        <v>0</v>
      </c>
      <c r="P70" s="235">
        <v>0</v>
      </c>
      <c r="Q70" s="235">
        <v>0</v>
      </c>
      <c r="R70" s="235">
        <v>0</v>
      </c>
      <c r="S70" s="235">
        <v>0</v>
      </c>
      <c r="T70" s="235">
        <v>0</v>
      </c>
      <c r="U70" s="235">
        <v>0</v>
      </c>
      <c r="V70" s="267">
        <f t="shared" si="18"/>
        <v>24217</v>
      </c>
      <c r="W70" s="267">
        <f t="shared" si="19"/>
        <v>0</v>
      </c>
      <c r="X70" s="267">
        <f t="shared" si="20"/>
        <v>0</v>
      </c>
      <c r="Y70" s="267" t="e">
        <f t="shared" si="26"/>
        <v>#DIV/0!</v>
      </c>
      <c r="Z70" s="113" t="str">
        <f t="shared" si="41"/>
        <v/>
      </c>
      <c r="AA70" s="113" t="str">
        <f t="shared" si="42"/>
        <v/>
      </c>
      <c r="AB70" s="267">
        <f t="shared" si="27"/>
        <v>0</v>
      </c>
      <c r="AC70" s="267">
        <f t="shared" si="23"/>
        <v>0</v>
      </c>
      <c r="AD70" s="267" t="e">
        <f t="shared" si="28"/>
        <v>#DIV/0!</v>
      </c>
      <c r="AE70" s="113" t="str">
        <f t="shared" si="43"/>
        <v/>
      </c>
      <c r="AF70" s="113" t="str">
        <f t="shared" si="44"/>
        <v/>
      </c>
      <c r="AG70" s="267">
        <f t="shared" si="29"/>
        <v>0</v>
      </c>
    </row>
    <row r="71" spans="1:33" ht="16.899999999999999" customHeight="1" outlineLevel="2">
      <c r="A71" s="193" t="s">
        <v>26</v>
      </c>
      <c r="B71" s="193" t="s">
        <v>153</v>
      </c>
      <c r="C71" s="193" t="s">
        <v>154</v>
      </c>
      <c r="D71" s="193" t="s">
        <v>161</v>
      </c>
      <c r="E71" s="193" t="s">
        <v>161</v>
      </c>
      <c r="F71" s="193" t="s">
        <v>162</v>
      </c>
      <c r="G71" s="235">
        <v>55403</v>
      </c>
      <c r="H71" s="235">
        <v>1300.8600000000001</v>
      </c>
      <c r="I71" s="235">
        <v>148.66</v>
      </c>
      <c r="J71" s="235">
        <v>55403</v>
      </c>
      <c r="K71" s="235">
        <v>5000</v>
      </c>
      <c r="L71" s="235">
        <v>5000</v>
      </c>
      <c r="M71" s="235">
        <v>10000</v>
      </c>
      <c r="N71" s="235">
        <v>10000</v>
      </c>
      <c r="O71" s="235">
        <v>10000</v>
      </c>
      <c r="P71" s="235">
        <v>10000</v>
      </c>
      <c r="Q71" s="235">
        <v>5403</v>
      </c>
      <c r="R71" s="235">
        <v>0</v>
      </c>
      <c r="S71" s="235">
        <v>0</v>
      </c>
      <c r="T71" s="235">
        <v>0</v>
      </c>
      <c r="U71" s="235">
        <v>0</v>
      </c>
      <c r="V71" s="267">
        <f t="shared" si="18"/>
        <v>55403</v>
      </c>
      <c r="W71" s="267">
        <f t="shared" si="19"/>
        <v>0</v>
      </c>
      <c r="X71" s="267">
        <f t="shared" si="20"/>
        <v>0</v>
      </c>
      <c r="Y71" s="267" t="e">
        <f t="shared" si="26"/>
        <v>#DIV/0!</v>
      </c>
      <c r="Z71" s="113" t="str">
        <f t="shared" si="41"/>
        <v/>
      </c>
      <c r="AA71" s="113" t="str">
        <f t="shared" si="42"/>
        <v/>
      </c>
      <c r="AB71" s="267">
        <f t="shared" si="27"/>
        <v>0</v>
      </c>
      <c r="AC71" s="267">
        <f t="shared" si="23"/>
        <v>0</v>
      </c>
      <c r="AD71" s="267" t="e">
        <f t="shared" si="28"/>
        <v>#DIV/0!</v>
      </c>
      <c r="AE71" s="113" t="str">
        <f t="shared" si="43"/>
        <v/>
      </c>
      <c r="AF71" s="113" t="str">
        <f t="shared" si="44"/>
        <v/>
      </c>
      <c r="AG71" s="267">
        <f t="shared" si="29"/>
        <v>0</v>
      </c>
    </row>
    <row r="72" spans="1:33" ht="16.899999999999999" customHeight="1" outlineLevel="2">
      <c r="A72" s="193" t="s">
        <v>26</v>
      </c>
      <c r="B72" s="193" t="s">
        <v>153</v>
      </c>
      <c r="C72" s="193" t="s">
        <v>154</v>
      </c>
      <c r="D72" s="193" t="s">
        <v>163</v>
      </c>
      <c r="E72" s="193" t="s">
        <v>163</v>
      </c>
      <c r="F72" s="193" t="s">
        <v>164</v>
      </c>
      <c r="G72" s="235">
        <v>39258</v>
      </c>
      <c r="H72" s="235">
        <v>1300.8600000000001</v>
      </c>
      <c r="I72" s="235">
        <v>148.66</v>
      </c>
      <c r="J72" s="235">
        <v>39258</v>
      </c>
      <c r="K72" s="235">
        <v>5000</v>
      </c>
      <c r="L72" s="235">
        <v>5000</v>
      </c>
      <c r="M72" s="235">
        <v>10000</v>
      </c>
      <c r="N72" s="235">
        <v>10000</v>
      </c>
      <c r="O72" s="235">
        <v>9258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0</v>
      </c>
      <c r="V72" s="267">
        <f t="shared" si="18"/>
        <v>39258</v>
      </c>
      <c r="W72" s="267">
        <f t="shared" si="19"/>
        <v>0</v>
      </c>
      <c r="X72" s="267">
        <f t="shared" si="20"/>
        <v>0</v>
      </c>
      <c r="Y72" s="267" t="e">
        <f t="shared" si="26"/>
        <v>#DIV/0!</v>
      </c>
      <c r="Z72" s="113" t="str">
        <f t="shared" si="41"/>
        <v/>
      </c>
      <c r="AA72" s="113" t="str">
        <f t="shared" si="42"/>
        <v/>
      </c>
      <c r="AB72" s="267">
        <f t="shared" si="27"/>
        <v>0</v>
      </c>
      <c r="AC72" s="267">
        <f t="shared" si="23"/>
        <v>0</v>
      </c>
      <c r="AD72" s="267" t="e">
        <f t="shared" si="28"/>
        <v>#DIV/0!</v>
      </c>
      <c r="AE72" s="113" t="str">
        <f t="shared" si="43"/>
        <v/>
      </c>
      <c r="AF72" s="113" t="str">
        <f t="shared" si="44"/>
        <v/>
      </c>
      <c r="AG72" s="267">
        <f t="shared" si="29"/>
        <v>0</v>
      </c>
    </row>
    <row r="73" spans="1:33" ht="16.899999999999999" customHeight="1" outlineLevel="2">
      <c r="A73" s="193" t="s">
        <v>26</v>
      </c>
      <c r="B73" s="193" t="s">
        <v>153</v>
      </c>
      <c r="C73" s="193" t="s">
        <v>154</v>
      </c>
      <c r="D73" s="193" t="s">
        <v>165</v>
      </c>
      <c r="E73" s="193" t="s">
        <v>165</v>
      </c>
      <c r="F73" s="193" t="s">
        <v>166</v>
      </c>
      <c r="G73" s="235">
        <v>37876</v>
      </c>
      <c r="H73" s="235">
        <v>1300.8600000000001</v>
      </c>
      <c r="I73" s="235">
        <v>148.66</v>
      </c>
      <c r="J73" s="235">
        <v>37876</v>
      </c>
      <c r="K73" s="235">
        <v>5000</v>
      </c>
      <c r="L73" s="235">
        <v>5000</v>
      </c>
      <c r="M73" s="235">
        <v>10000</v>
      </c>
      <c r="N73" s="235">
        <v>10000</v>
      </c>
      <c r="O73" s="235">
        <v>7876</v>
      </c>
      <c r="P73" s="235">
        <v>0</v>
      </c>
      <c r="Q73" s="235">
        <v>0</v>
      </c>
      <c r="R73" s="235">
        <v>0</v>
      </c>
      <c r="S73" s="235">
        <v>0</v>
      </c>
      <c r="T73" s="235">
        <v>0</v>
      </c>
      <c r="U73" s="235">
        <v>0</v>
      </c>
      <c r="V73" s="267">
        <f t="shared" si="18"/>
        <v>37876</v>
      </c>
      <c r="W73" s="267">
        <f t="shared" si="19"/>
        <v>0</v>
      </c>
      <c r="X73" s="267">
        <f t="shared" si="20"/>
        <v>0</v>
      </c>
      <c r="Y73" s="267" t="e">
        <f t="shared" si="26"/>
        <v>#DIV/0!</v>
      </c>
      <c r="Z73" s="113" t="str">
        <f t="shared" si="41"/>
        <v/>
      </c>
      <c r="AA73" s="113" t="str">
        <f t="shared" si="42"/>
        <v/>
      </c>
      <c r="AB73" s="267">
        <f t="shared" si="27"/>
        <v>0</v>
      </c>
      <c r="AC73" s="267">
        <f t="shared" si="23"/>
        <v>0</v>
      </c>
      <c r="AD73" s="267" t="e">
        <f t="shared" si="28"/>
        <v>#DIV/0!</v>
      </c>
      <c r="AE73" s="113" t="str">
        <f t="shared" si="43"/>
        <v/>
      </c>
      <c r="AF73" s="113" t="str">
        <f t="shared" si="44"/>
        <v/>
      </c>
      <c r="AG73" s="267">
        <f t="shared" si="29"/>
        <v>0</v>
      </c>
    </row>
    <row r="74" spans="1:33" ht="16.899999999999999" customHeight="1" outlineLevel="2">
      <c r="A74" s="193" t="s">
        <v>26</v>
      </c>
      <c r="B74" s="193" t="s">
        <v>153</v>
      </c>
      <c r="C74" s="193" t="s">
        <v>154</v>
      </c>
      <c r="D74" s="193" t="s">
        <v>167</v>
      </c>
      <c r="E74" s="193" t="s">
        <v>167</v>
      </c>
      <c r="F74" s="193" t="s">
        <v>168</v>
      </c>
      <c r="G74" s="235">
        <v>10823</v>
      </c>
      <c r="H74" s="235">
        <v>1300.8600000000001</v>
      </c>
      <c r="I74" s="235">
        <v>148.66</v>
      </c>
      <c r="J74" s="235">
        <v>10823</v>
      </c>
      <c r="K74" s="235">
        <v>5000</v>
      </c>
      <c r="L74" s="235">
        <v>5000</v>
      </c>
      <c r="M74" s="235">
        <v>823</v>
      </c>
      <c r="N74" s="235">
        <v>0</v>
      </c>
      <c r="O74" s="235">
        <v>0</v>
      </c>
      <c r="P74" s="235">
        <v>0</v>
      </c>
      <c r="Q74" s="235">
        <v>0</v>
      </c>
      <c r="R74" s="235">
        <v>0</v>
      </c>
      <c r="S74" s="235">
        <v>0</v>
      </c>
      <c r="T74" s="235">
        <v>0</v>
      </c>
      <c r="U74" s="235">
        <v>0</v>
      </c>
      <c r="V74" s="267">
        <f t="shared" si="18"/>
        <v>10823</v>
      </c>
      <c r="W74" s="267">
        <f t="shared" si="19"/>
        <v>0</v>
      </c>
      <c r="X74" s="267">
        <f t="shared" si="20"/>
        <v>0</v>
      </c>
      <c r="Y74" s="267" t="e">
        <f t="shared" si="26"/>
        <v>#DIV/0!</v>
      </c>
      <c r="Z74" s="113" t="str">
        <f t="shared" si="41"/>
        <v/>
      </c>
      <c r="AA74" s="113" t="str">
        <f t="shared" si="42"/>
        <v/>
      </c>
      <c r="AB74" s="267">
        <f t="shared" si="27"/>
        <v>0</v>
      </c>
      <c r="AC74" s="267">
        <f t="shared" si="23"/>
        <v>0</v>
      </c>
      <c r="AD74" s="267" t="e">
        <f t="shared" si="28"/>
        <v>#DIV/0!</v>
      </c>
      <c r="AE74" s="113" t="str">
        <f t="shared" si="43"/>
        <v/>
      </c>
      <c r="AF74" s="113" t="str">
        <f t="shared" si="44"/>
        <v/>
      </c>
      <c r="AG74" s="267">
        <f t="shared" si="29"/>
        <v>0</v>
      </c>
    </row>
    <row r="75" spans="1:33" ht="16.899999999999999" customHeight="1" outlineLevel="2">
      <c r="A75" s="193" t="s">
        <v>26</v>
      </c>
      <c r="B75" s="193" t="s">
        <v>153</v>
      </c>
      <c r="C75" s="193" t="s">
        <v>154</v>
      </c>
      <c r="D75" s="193" t="s">
        <v>169</v>
      </c>
      <c r="E75" s="193" t="s">
        <v>169</v>
      </c>
      <c r="F75" s="193" t="s">
        <v>170</v>
      </c>
      <c r="G75" s="235">
        <v>93034</v>
      </c>
      <c r="H75" s="235">
        <v>1300.8600000000001</v>
      </c>
      <c r="I75" s="235">
        <v>148.66</v>
      </c>
      <c r="J75" s="235">
        <v>93034</v>
      </c>
      <c r="K75" s="235">
        <v>5000</v>
      </c>
      <c r="L75" s="235">
        <v>5000</v>
      </c>
      <c r="M75" s="235">
        <v>10000</v>
      </c>
      <c r="N75" s="235">
        <v>10000</v>
      </c>
      <c r="O75" s="235">
        <v>10000</v>
      </c>
      <c r="P75" s="235">
        <v>10000</v>
      </c>
      <c r="Q75" s="235">
        <v>10000</v>
      </c>
      <c r="R75" s="235">
        <v>30000</v>
      </c>
      <c r="S75" s="235">
        <v>3034</v>
      </c>
      <c r="T75" s="235">
        <v>0</v>
      </c>
      <c r="U75" s="235">
        <v>0</v>
      </c>
      <c r="V75" s="267">
        <f t="shared" si="18"/>
        <v>93034</v>
      </c>
      <c r="W75" s="267">
        <f t="shared" si="19"/>
        <v>0</v>
      </c>
      <c r="X75" s="267">
        <f t="shared" si="20"/>
        <v>0</v>
      </c>
      <c r="Y75" s="267" t="e">
        <f t="shared" si="26"/>
        <v>#DIV/0!</v>
      </c>
      <c r="Z75" s="113" t="str">
        <f t="shared" si="41"/>
        <v/>
      </c>
      <c r="AA75" s="113" t="str">
        <f t="shared" si="42"/>
        <v/>
      </c>
      <c r="AB75" s="267">
        <f t="shared" si="27"/>
        <v>0</v>
      </c>
      <c r="AC75" s="267">
        <f t="shared" si="23"/>
        <v>0</v>
      </c>
      <c r="AD75" s="267" t="e">
        <f t="shared" si="28"/>
        <v>#DIV/0!</v>
      </c>
      <c r="AE75" s="113" t="str">
        <f t="shared" si="43"/>
        <v/>
      </c>
      <c r="AF75" s="113" t="str">
        <f t="shared" si="44"/>
        <v/>
      </c>
      <c r="AG75" s="267">
        <f t="shared" si="29"/>
        <v>0</v>
      </c>
    </row>
    <row r="76" spans="1:33" ht="16.899999999999999" customHeight="1" outlineLevel="2">
      <c r="A76" s="193" t="s">
        <v>26</v>
      </c>
      <c r="B76" s="193" t="s">
        <v>153</v>
      </c>
      <c r="C76" s="193" t="s">
        <v>154</v>
      </c>
      <c r="D76" s="193" t="s">
        <v>171</v>
      </c>
      <c r="E76" s="193" t="s">
        <v>171</v>
      </c>
      <c r="F76" s="193" t="s">
        <v>172</v>
      </c>
      <c r="G76" s="235">
        <v>30839</v>
      </c>
      <c r="H76" s="235">
        <v>1300.8600000000001</v>
      </c>
      <c r="I76" s="235">
        <v>148.66</v>
      </c>
      <c r="J76" s="235">
        <v>30839</v>
      </c>
      <c r="K76" s="235">
        <v>5000</v>
      </c>
      <c r="L76" s="235">
        <v>5000</v>
      </c>
      <c r="M76" s="235">
        <v>10000</v>
      </c>
      <c r="N76" s="235">
        <v>10000</v>
      </c>
      <c r="O76" s="235">
        <v>839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67">
        <f t="shared" si="18"/>
        <v>30839</v>
      </c>
      <c r="W76" s="267">
        <f t="shared" si="19"/>
        <v>0</v>
      </c>
      <c r="X76" s="267">
        <f t="shared" si="20"/>
        <v>0</v>
      </c>
      <c r="Y76" s="267" t="e">
        <f t="shared" si="26"/>
        <v>#DIV/0!</v>
      </c>
      <c r="Z76" s="113" t="str">
        <f t="shared" si="41"/>
        <v/>
      </c>
      <c r="AA76" s="113" t="str">
        <f t="shared" si="42"/>
        <v/>
      </c>
      <c r="AB76" s="267">
        <f t="shared" si="27"/>
        <v>0</v>
      </c>
      <c r="AC76" s="267">
        <f t="shared" si="23"/>
        <v>0</v>
      </c>
      <c r="AD76" s="267" t="e">
        <f t="shared" si="28"/>
        <v>#DIV/0!</v>
      </c>
      <c r="AE76" s="113" t="str">
        <f t="shared" si="43"/>
        <v/>
      </c>
      <c r="AF76" s="113" t="str">
        <f t="shared" si="44"/>
        <v/>
      </c>
      <c r="AG76" s="267">
        <f t="shared" si="29"/>
        <v>0</v>
      </c>
    </row>
    <row r="77" spans="1:33" ht="16.899999999999999" customHeight="1" outlineLevel="2">
      <c r="A77" s="193" t="s">
        <v>26</v>
      </c>
      <c r="B77" s="193" t="s">
        <v>153</v>
      </c>
      <c r="C77" s="193" t="s">
        <v>154</v>
      </c>
      <c r="D77" s="193" t="s">
        <v>173</v>
      </c>
      <c r="E77" s="193" t="s">
        <v>173</v>
      </c>
      <c r="F77" s="193" t="s">
        <v>174</v>
      </c>
      <c r="G77" s="235">
        <v>53083</v>
      </c>
      <c r="H77" s="235">
        <v>1300.8600000000001</v>
      </c>
      <c r="I77" s="235">
        <v>148.66</v>
      </c>
      <c r="J77" s="235">
        <v>53083</v>
      </c>
      <c r="K77" s="235">
        <v>5000</v>
      </c>
      <c r="L77" s="235">
        <v>5000</v>
      </c>
      <c r="M77" s="235">
        <v>10000</v>
      </c>
      <c r="N77" s="235">
        <v>10000</v>
      </c>
      <c r="O77" s="235">
        <v>10000</v>
      </c>
      <c r="P77" s="235">
        <v>10000</v>
      </c>
      <c r="Q77" s="235">
        <v>3083</v>
      </c>
      <c r="R77" s="235">
        <v>0</v>
      </c>
      <c r="S77" s="235">
        <v>0</v>
      </c>
      <c r="T77" s="235">
        <v>0</v>
      </c>
      <c r="U77" s="235">
        <v>0</v>
      </c>
      <c r="V77" s="267">
        <f t="shared" si="18"/>
        <v>53083</v>
      </c>
      <c r="W77" s="267">
        <f t="shared" si="19"/>
        <v>0</v>
      </c>
      <c r="X77" s="267">
        <f t="shared" si="20"/>
        <v>0</v>
      </c>
      <c r="Y77" s="267" t="e">
        <f t="shared" si="26"/>
        <v>#DIV/0!</v>
      </c>
      <c r="Z77" s="113" t="str">
        <f t="shared" si="41"/>
        <v/>
      </c>
      <c r="AA77" s="113" t="str">
        <f t="shared" si="42"/>
        <v/>
      </c>
      <c r="AB77" s="267">
        <f t="shared" si="27"/>
        <v>0</v>
      </c>
      <c r="AC77" s="267">
        <f t="shared" si="23"/>
        <v>0</v>
      </c>
      <c r="AD77" s="267" t="e">
        <f t="shared" si="28"/>
        <v>#DIV/0!</v>
      </c>
      <c r="AE77" s="113" t="str">
        <f t="shared" si="43"/>
        <v/>
      </c>
      <c r="AF77" s="113" t="str">
        <f t="shared" si="44"/>
        <v/>
      </c>
      <c r="AG77" s="267">
        <f t="shared" si="29"/>
        <v>0</v>
      </c>
    </row>
    <row r="78" spans="1:33" ht="16.899999999999999" customHeight="1" outlineLevel="2">
      <c r="A78" s="193" t="s">
        <v>26</v>
      </c>
      <c r="B78" s="193" t="s">
        <v>153</v>
      </c>
      <c r="C78" s="193" t="s">
        <v>154</v>
      </c>
      <c r="D78" s="193" t="s">
        <v>175</v>
      </c>
      <c r="E78" s="193" t="s">
        <v>175</v>
      </c>
      <c r="F78" s="193" t="s">
        <v>176</v>
      </c>
      <c r="G78" s="235">
        <v>53634</v>
      </c>
      <c r="H78" s="235">
        <v>1300.8600000000001</v>
      </c>
      <c r="I78" s="235">
        <v>148.66</v>
      </c>
      <c r="J78" s="235">
        <v>53634</v>
      </c>
      <c r="K78" s="235">
        <v>5000</v>
      </c>
      <c r="L78" s="235">
        <v>5000</v>
      </c>
      <c r="M78" s="235">
        <v>10000</v>
      </c>
      <c r="N78" s="235">
        <v>10000</v>
      </c>
      <c r="O78" s="235">
        <v>10000</v>
      </c>
      <c r="P78" s="235">
        <v>10000</v>
      </c>
      <c r="Q78" s="235">
        <v>3634</v>
      </c>
      <c r="R78" s="235">
        <v>0</v>
      </c>
      <c r="S78" s="235">
        <v>0</v>
      </c>
      <c r="T78" s="235">
        <v>0</v>
      </c>
      <c r="U78" s="235">
        <v>0</v>
      </c>
      <c r="V78" s="267">
        <f t="shared" si="18"/>
        <v>53634</v>
      </c>
      <c r="W78" s="267">
        <f t="shared" si="19"/>
        <v>0</v>
      </c>
      <c r="X78" s="267">
        <f t="shared" si="20"/>
        <v>0</v>
      </c>
      <c r="Y78" s="267" t="e">
        <f t="shared" si="26"/>
        <v>#DIV/0!</v>
      </c>
      <c r="Z78" s="113" t="str">
        <f t="shared" si="41"/>
        <v/>
      </c>
      <c r="AA78" s="113" t="str">
        <f t="shared" si="42"/>
        <v/>
      </c>
      <c r="AB78" s="267">
        <f t="shared" si="27"/>
        <v>0</v>
      </c>
      <c r="AC78" s="267">
        <f t="shared" si="23"/>
        <v>0</v>
      </c>
      <c r="AD78" s="267" t="e">
        <f t="shared" si="28"/>
        <v>#DIV/0!</v>
      </c>
      <c r="AE78" s="113" t="str">
        <f t="shared" si="43"/>
        <v/>
      </c>
      <c r="AF78" s="113" t="str">
        <f t="shared" si="44"/>
        <v/>
      </c>
      <c r="AG78" s="267">
        <f t="shared" si="29"/>
        <v>0</v>
      </c>
    </row>
    <row r="79" spans="1:33" ht="16.899999999999999" customHeight="1" outlineLevel="2">
      <c r="A79" s="193" t="s">
        <v>26</v>
      </c>
      <c r="B79" s="193" t="s">
        <v>153</v>
      </c>
      <c r="C79" s="193" t="s">
        <v>154</v>
      </c>
      <c r="D79" s="193" t="s">
        <v>177</v>
      </c>
      <c r="E79" s="193" t="s">
        <v>177</v>
      </c>
      <c r="F79" s="193" t="s">
        <v>178</v>
      </c>
      <c r="G79" s="235">
        <v>26653</v>
      </c>
      <c r="H79" s="235">
        <v>1300.8600000000001</v>
      </c>
      <c r="I79" s="235">
        <v>148.66</v>
      </c>
      <c r="J79" s="235">
        <v>26653</v>
      </c>
      <c r="K79" s="235">
        <v>5000</v>
      </c>
      <c r="L79" s="235">
        <v>5000</v>
      </c>
      <c r="M79" s="235">
        <v>10000</v>
      </c>
      <c r="N79" s="235">
        <v>6653</v>
      </c>
      <c r="O79" s="235">
        <v>0</v>
      </c>
      <c r="P79" s="235">
        <v>0</v>
      </c>
      <c r="Q79" s="235">
        <v>0</v>
      </c>
      <c r="R79" s="235">
        <v>0</v>
      </c>
      <c r="S79" s="235">
        <v>0</v>
      </c>
      <c r="T79" s="235">
        <v>0</v>
      </c>
      <c r="U79" s="235">
        <v>0</v>
      </c>
      <c r="V79" s="267">
        <f t="shared" si="18"/>
        <v>26653</v>
      </c>
      <c r="W79" s="267">
        <f t="shared" si="19"/>
        <v>0</v>
      </c>
      <c r="X79" s="267">
        <f t="shared" si="20"/>
        <v>0</v>
      </c>
      <c r="Y79" s="267" t="e">
        <f t="shared" si="26"/>
        <v>#DIV/0!</v>
      </c>
      <c r="Z79" s="113" t="str">
        <f t="shared" si="41"/>
        <v/>
      </c>
      <c r="AA79" s="113" t="str">
        <f t="shared" si="42"/>
        <v/>
      </c>
      <c r="AB79" s="267">
        <f t="shared" si="27"/>
        <v>0</v>
      </c>
      <c r="AC79" s="267">
        <f t="shared" si="23"/>
        <v>0</v>
      </c>
      <c r="AD79" s="267" t="e">
        <f t="shared" si="28"/>
        <v>#DIV/0!</v>
      </c>
      <c r="AE79" s="113" t="str">
        <f t="shared" si="43"/>
        <v/>
      </c>
      <c r="AF79" s="113" t="str">
        <f t="shared" si="44"/>
        <v/>
      </c>
      <c r="AG79" s="267">
        <f t="shared" si="29"/>
        <v>0</v>
      </c>
    </row>
    <row r="80" spans="1:33" ht="16.899999999999999" customHeight="1" outlineLevel="2">
      <c r="A80" s="193" t="s">
        <v>26</v>
      </c>
      <c r="B80" s="193" t="s">
        <v>153</v>
      </c>
      <c r="C80" s="193" t="s">
        <v>154</v>
      </c>
      <c r="D80" s="193" t="s">
        <v>179</v>
      </c>
      <c r="E80" s="193" t="s">
        <v>179</v>
      </c>
      <c r="F80" s="193" t="s">
        <v>180</v>
      </c>
      <c r="G80" s="235">
        <v>17988</v>
      </c>
      <c r="H80" s="235">
        <v>1300.8600000000001</v>
      </c>
      <c r="I80" s="235">
        <v>148.66</v>
      </c>
      <c r="J80" s="235">
        <v>17988</v>
      </c>
      <c r="K80" s="235">
        <v>5000</v>
      </c>
      <c r="L80" s="235">
        <v>5000</v>
      </c>
      <c r="M80" s="235">
        <v>7988</v>
      </c>
      <c r="N80" s="235">
        <v>0</v>
      </c>
      <c r="O80" s="235">
        <v>0</v>
      </c>
      <c r="P80" s="235">
        <v>0</v>
      </c>
      <c r="Q80" s="235">
        <v>0</v>
      </c>
      <c r="R80" s="235">
        <v>0</v>
      </c>
      <c r="S80" s="235">
        <v>0</v>
      </c>
      <c r="T80" s="235">
        <v>0</v>
      </c>
      <c r="U80" s="235">
        <v>0</v>
      </c>
      <c r="V80" s="267">
        <f t="shared" si="18"/>
        <v>17988</v>
      </c>
      <c r="W80" s="267">
        <f t="shared" si="19"/>
        <v>0</v>
      </c>
      <c r="X80" s="267">
        <f t="shared" si="20"/>
        <v>0</v>
      </c>
      <c r="Y80" s="267" t="e">
        <f t="shared" si="26"/>
        <v>#DIV/0!</v>
      </c>
      <c r="Z80" s="113" t="str">
        <f t="shared" si="41"/>
        <v/>
      </c>
      <c r="AA80" s="113" t="str">
        <f t="shared" si="42"/>
        <v/>
      </c>
      <c r="AB80" s="267">
        <f t="shared" si="27"/>
        <v>0</v>
      </c>
      <c r="AC80" s="267">
        <f t="shared" si="23"/>
        <v>0</v>
      </c>
      <c r="AD80" s="267" t="e">
        <f t="shared" si="28"/>
        <v>#DIV/0!</v>
      </c>
      <c r="AE80" s="113" t="str">
        <f t="shared" si="43"/>
        <v/>
      </c>
      <c r="AF80" s="113" t="str">
        <f t="shared" si="44"/>
        <v/>
      </c>
      <c r="AG80" s="267">
        <f t="shared" si="29"/>
        <v>0</v>
      </c>
    </row>
    <row r="81" spans="1:33" ht="16.899999999999999" customHeight="1" outlineLevel="2">
      <c r="A81" s="193" t="s">
        <v>26</v>
      </c>
      <c r="B81" s="193" t="s">
        <v>153</v>
      </c>
      <c r="C81" s="193" t="s">
        <v>154</v>
      </c>
      <c r="D81" s="193" t="s">
        <v>181</v>
      </c>
      <c r="E81" s="193" t="s">
        <v>181</v>
      </c>
      <c r="F81" s="193" t="s">
        <v>182</v>
      </c>
      <c r="G81" s="235">
        <v>24862</v>
      </c>
      <c r="H81" s="235">
        <v>1300.8600000000001</v>
      </c>
      <c r="I81" s="235">
        <v>148.66</v>
      </c>
      <c r="J81" s="235">
        <v>24862</v>
      </c>
      <c r="K81" s="235">
        <v>5000</v>
      </c>
      <c r="L81" s="235">
        <v>5000</v>
      </c>
      <c r="M81" s="235">
        <v>10000</v>
      </c>
      <c r="N81" s="235">
        <v>4862</v>
      </c>
      <c r="O81" s="235">
        <v>0</v>
      </c>
      <c r="P81" s="235">
        <v>0</v>
      </c>
      <c r="Q81" s="235">
        <v>0</v>
      </c>
      <c r="R81" s="235">
        <v>0</v>
      </c>
      <c r="S81" s="235">
        <v>0</v>
      </c>
      <c r="T81" s="235">
        <v>0</v>
      </c>
      <c r="U81" s="235">
        <v>0</v>
      </c>
      <c r="V81" s="267">
        <f t="shared" si="18"/>
        <v>24862</v>
      </c>
      <c r="W81" s="267">
        <f t="shared" si="19"/>
        <v>0</v>
      </c>
      <c r="X81" s="267">
        <f t="shared" si="20"/>
        <v>0</v>
      </c>
      <c r="Y81" s="267" t="e">
        <f t="shared" si="26"/>
        <v>#DIV/0!</v>
      </c>
      <c r="Z81" s="113" t="str">
        <f t="shared" si="41"/>
        <v/>
      </c>
      <c r="AA81" s="113" t="str">
        <f t="shared" si="42"/>
        <v/>
      </c>
      <c r="AB81" s="267">
        <f t="shared" si="27"/>
        <v>0</v>
      </c>
      <c r="AC81" s="267">
        <f t="shared" si="23"/>
        <v>0</v>
      </c>
      <c r="AD81" s="267" t="e">
        <f t="shared" si="28"/>
        <v>#DIV/0!</v>
      </c>
      <c r="AE81" s="113" t="str">
        <f t="shared" si="43"/>
        <v/>
      </c>
      <c r="AF81" s="113" t="str">
        <f t="shared" si="44"/>
        <v/>
      </c>
      <c r="AG81" s="267">
        <f t="shared" si="29"/>
        <v>0</v>
      </c>
    </row>
    <row r="82" spans="1:33" ht="16.899999999999999" customHeight="1" outlineLevel="2">
      <c r="A82" s="193" t="s">
        <v>26</v>
      </c>
      <c r="B82" s="193" t="s">
        <v>153</v>
      </c>
      <c r="C82" s="193" t="s">
        <v>154</v>
      </c>
      <c r="D82" s="193" t="s">
        <v>183</v>
      </c>
      <c r="E82" s="193" t="s">
        <v>183</v>
      </c>
      <c r="F82" s="193" t="s">
        <v>184</v>
      </c>
      <c r="G82" s="235">
        <v>33221</v>
      </c>
      <c r="H82" s="235">
        <v>1300.8600000000001</v>
      </c>
      <c r="I82" s="235">
        <v>148.66</v>
      </c>
      <c r="J82" s="235">
        <v>33221</v>
      </c>
      <c r="K82" s="235">
        <v>5000</v>
      </c>
      <c r="L82" s="235">
        <v>5000</v>
      </c>
      <c r="M82" s="235">
        <v>10000</v>
      </c>
      <c r="N82" s="235">
        <v>10000</v>
      </c>
      <c r="O82" s="235">
        <v>3221</v>
      </c>
      <c r="P82" s="235">
        <v>0</v>
      </c>
      <c r="Q82" s="235">
        <v>0</v>
      </c>
      <c r="R82" s="235">
        <v>0</v>
      </c>
      <c r="S82" s="235">
        <v>0</v>
      </c>
      <c r="T82" s="235">
        <v>0</v>
      </c>
      <c r="U82" s="235">
        <v>0</v>
      </c>
      <c r="V82" s="267">
        <f t="shared" si="18"/>
        <v>33221</v>
      </c>
      <c r="W82" s="267">
        <f t="shared" si="19"/>
        <v>0</v>
      </c>
      <c r="X82" s="267">
        <f t="shared" si="20"/>
        <v>0</v>
      </c>
      <c r="Y82" s="267" t="e">
        <f t="shared" si="26"/>
        <v>#DIV/0!</v>
      </c>
      <c r="Z82" s="113" t="str">
        <f t="shared" si="41"/>
        <v/>
      </c>
      <c r="AA82" s="113" t="str">
        <f t="shared" si="42"/>
        <v/>
      </c>
      <c r="AB82" s="267">
        <f t="shared" si="27"/>
        <v>0</v>
      </c>
      <c r="AC82" s="267">
        <f t="shared" si="23"/>
        <v>0</v>
      </c>
      <c r="AD82" s="267" t="e">
        <f t="shared" si="28"/>
        <v>#DIV/0!</v>
      </c>
      <c r="AE82" s="113" t="str">
        <f t="shared" si="43"/>
        <v/>
      </c>
      <c r="AF82" s="113" t="str">
        <f t="shared" si="44"/>
        <v/>
      </c>
      <c r="AG82" s="267">
        <f t="shared" si="29"/>
        <v>0</v>
      </c>
    </row>
    <row r="83" spans="1:33" ht="16.899999999999999" customHeight="1" outlineLevel="2">
      <c r="A83" s="193" t="s">
        <v>26</v>
      </c>
      <c r="B83" s="193" t="s">
        <v>153</v>
      </c>
      <c r="C83" s="193" t="s">
        <v>154</v>
      </c>
      <c r="D83" s="193" t="s">
        <v>185</v>
      </c>
      <c r="E83" s="193" t="s">
        <v>185</v>
      </c>
      <c r="F83" s="193" t="s">
        <v>186</v>
      </c>
      <c r="G83" s="235">
        <v>28324</v>
      </c>
      <c r="H83" s="235">
        <v>1300.8600000000001</v>
      </c>
      <c r="I83" s="235">
        <v>148.66</v>
      </c>
      <c r="J83" s="235">
        <v>28324</v>
      </c>
      <c r="K83" s="235">
        <v>5000</v>
      </c>
      <c r="L83" s="235">
        <v>5000</v>
      </c>
      <c r="M83" s="235">
        <v>10000</v>
      </c>
      <c r="N83" s="235">
        <v>8324</v>
      </c>
      <c r="O83" s="235">
        <v>0</v>
      </c>
      <c r="P83" s="235">
        <v>0</v>
      </c>
      <c r="Q83" s="235">
        <v>0</v>
      </c>
      <c r="R83" s="235">
        <v>0</v>
      </c>
      <c r="S83" s="235">
        <v>0</v>
      </c>
      <c r="T83" s="235">
        <v>0</v>
      </c>
      <c r="U83" s="235">
        <v>0</v>
      </c>
      <c r="V83" s="267">
        <f t="shared" si="18"/>
        <v>28324</v>
      </c>
      <c r="W83" s="267">
        <f t="shared" si="19"/>
        <v>0</v>
      </c>
      <c r="X83" s="267">
        <f t="shared" si="20"/>
        <v>0</v>
      </c>
      <c r="Y83" s="267" t="e">
        <f t="shared" si="26"/>
        <v>#DIV/0!</v>
      </c>
      <c r="Z83" s="113" t="str">
        <f t="shared" si="41"/>
        <v/>
      </c>
      <c r="AA83" s="113" t="str">
        <f t="shared" si="42"/>
        <v/>
      </c>
      <c r="AB83" s="267">
        <f t="shared" si="27"/>
        <v>0</v>
      </c>
      <c r="AC83" s="267">
        <f t="shared" si="23"/>
        <v>0</v>
      </c>
      <c r="AD83" s="267" t="e">
        <f t="shared" si="28"/>
        <v>#DIV/0!</v>
      </c>
      <c r="AE83" s="113" t="str">
        <f t="shared" si="43"/>
        <v/>
      </c>
      <c r="AF83" s="113" t="str">
        <f t="shared" si="44"/>
        <v/>
      </c>
      <c r="AG83" s="267">
        <f t="shared" si="29"/>
        <v>0</v>
      </c>
    </row>
    <row r="84" spans="1:33" ht="16.899999999999999" customHeight="1" outlineLevel="2">
      <c r="A84" s="193" t="s">
        <v>26</v>
      </c>
      <c r="B84" s="193" t="s">
        <v>153</v>
      </c>
      <c r="C84" s="193" t="s">
        <v>154</v>
      </c>
      <c r="D84" s="193" t="s">
        <v>187</v>
      </c>
      <c r="E84" s="193" t="s">
        <v>187</v>
      </c>
      <c r="F84" s="193" t="s">
        <v>188</v>
      </c>
      <c r="G84" s="235">
        <v>113920</v>
      </c>
      <c r="H84" s="235">
        <v>1300.8600000000001</v>
      </c>
      <c r="I84" s="235">
        <v>148.66</v>
      </c>
      <c r="J84" s="235">
        <v>113920</v>
      </c>
      <c r="K84" s="235">
        <v>5000</v>
      </c>
      <c r="L84" s="235">
        <v>5000</v>
      </c>
      <c r="M84" s="235">
        <v>10000</v>
      </c>
      <c r="N84" s="235">
        <v>10000</v>
      </c>
      <c r="O84" s="235">
        <v>10000</v>
      </c>
      <c r="P84" s="235">
        <v>10000</v>
      </c>
      <c r="Q84" s="235">
        <v>10000</v>
      </c>
      <c r="R84" s="235">
        <v>30000</v>
      </c>
      <c r="S84" s="235">
        <v>23920</v>
      </c>
      <c r="T84" s="235">
        <v>0</v>
      </c>
      <c r="U84" s="235">
        <v>0</v>
      </c>
      <c r="V84" s="267">
        <f t="shared" si="18"/>
        <v>113920</v>
      </c>
      <c r="W84" s="267">
        <f t="shared" si="19"/>
        <v>0</v>
      </c>
      <c r="X84" s="267">
        <f t="shared" si="20"/>
        <v>0</v>
      </c>
      <c r="Y84" s="267" t="e">
        <f t="shared" si="26"/>
        <v>#DIV/0!</v>
      </c>
      <c r="Z84" s="113" t="str">
        <f t="shared" si="41"/>
        <v/>
      </c>
      <c r="AA84" s="113" t="str">
        <f t="shared" si="42"/>
        <v/>
      </c>
      <c r="AB84" s="267">
        <f t="shared" si="27"/>
        <v>0</v>
      </c>
      <c r="AC84" s="267">
        <f t="shared" si="23"/>
        <v>0</v>
      </c>
      <c r="AD84" s="267" t="e">
        <f t="shared" si="28"/>
        <v>#DIV/0!</v>
      </c>
      <c r="AE84" s="113" t="str">
        <f t="shared" si="43"/>
        <v/>
      </c>
      <c r="AF84" s="113" t="str">
        <f t="shared" si="44"/>
        <v/>
      </c>
      <c r="AG84" s="267">
        <f t="shared" si="29"/>
        <v>0</v>
      </c>
    </row>
    <row r="85" spans="1:33" ht="16.899999999999999" customHeight="1" outlineLevel="2">
      <c r="A85" s="193" t="s">
        <v>26</v>
      </c>
      <c r="B85" s="193" t="s">
        <v>153</v>
      </c>
      <c r="C85" s="193" t="s">
        <v>154</v>
      </c>
      <c r="D85" s="193" t="s">
        <v>189</v>
      </c>
      <c r="E85" s="193" t="s">
        <v>189</v>
      </c>
      <c r="F85" s="193" t="s">
        <v>190</v>
      </c>
      <c r="G85" s="235">
        <v>28670</v>
      </c>
      <c r="H85" s="235">
        <v>1300.8600000000001</v>
      </c>
      <c r="I85" s="235">
        <v>148.66</v>
      </c>
      <c r="J85" s="235">
        <v>28670</v>
      </c>
      <c r="K85" s="235">
        <v>5000</v>
      </c>
      <c r="L85" s="235">
        <v>5000</v>
      </c>
      <c r="M85" s="235">
        <v>10000</v>
      </c>
      <c r="N85" s="235">
        <v>8670</v>
      </c>
      <c r="O85" s="235">
        <v>0</v>
      </c>
      <c r="P85" s="235">
        <v>0</v>
      </c>
      <c r="Q85" s="235">
        <v>0</v>
      </c>
      <c r="R85" s="235">
        <v>0</v>
      </c>
      <c r="S85" s="235">
        <v>0</v>
      </c>
      <c r="T85" s="235">
        <v>0</v>
      </c>
      <c r="U85" s="235">
        <v>0</v>
      </c>
      <c r="V85" s="267">
        <f t="shared" si="18"/>
        <v>28670</v>
      </c>
      <c r="W85" s="267">
        <f t="shared" si="19"/>
        <v>0</v>
      </c>
      <c r="X85" s="267">
        <f t="shared" si="20"/>
        <v>0</v>
      </c>
      <c r="Y85" s="267" t="e">
        <f t="shared" si="26"/>
        <v>#DIV/0!</v>
      </c>
      <c r="Z85" s="113" t="str">
        <f t="shared" si="41"/>
        <v/>
      </c>
      <c r="AA85" s="113" t="str">
        <f t="shared" si="42"/>
        <v/>
      </c>
      <c r="AB85" s="267">
        <f t="shared" si="27"/>
        <v>0</v>
      </c>
      <c r="AC85" s="267">
        <f t="shared" si="23"/>
        <v>0</v>
      </c>
      <c r="AD85" s="267" t="e">
        <f t="shared" si="28"/>
        <v>#DIV/0!</v>
      </c>
      <c r="AE85" s="113" t="str">
        <f t="shared" si="43"/>
        <v/>
      </c>
      <c r="AF85" s="113" t="str">
        <f t="shared" si="44"/>
        <v/>
      </c>
      <c r="AG85" s="267">
        <f t="shared" si="29"/>
        <v>0</v>
      </c>
    </row>
    <row r="86" spans="1:33" ht="16.899999999999999" customHeight="1" outlineLevel="1">
      <c r="C86" s="193" t="s">
        <v>268</v>
      </c>
      <c r="G86" s="235">
        <f>SUBTOTAL(9,G68:G85)</f>
        <v>852200</v>
      </c>
      <c r="H86" s="235"/>
      <c r="I86" s="235"/>
      <c r="J86" s="235">
        <f t="shared" ref="J86:Y86" si="45">SUBTOTAL(9,J68:J85)</f>
        <v>852200</v>
      </c>
      <c r="K86" s="235">
        <f t="shared" si="45"/>
        <v>90000</v>
      </c>
      <c r="L86" s="235">
        <f t="shared" si="45"/>
        <v>90000</v>
      </c>
      <c r="M86" s="235">
        <f t="shared" si="45"/>
        <v>168811</v>
      </c>
      <c r="N86" s="235">
        <f t="shared" si="45"/>
        <v>142726</v>
      </c>
      <c r="O86" s="235">
        <f t="shared" si="45"/>
        <v>87400</v>
      </c>
      <c r="P86" s="235">
        <f t="shared" si="45"/>
        <v>60000</v>
      </c>
      <c r="Q86" s="235">
        <f t="shared" si="45"/>
        <v>42120</v>
      </c>
      <c r="R86" s="235">
        <f t="shared" si="45"/>
        <v>90000</v>
      </c>
      <c r="S86" s="235">
        <f t="shared" si="45"/>
        <v>56954</v>
      </c>
      <c r="T86" s="235">
        <f t="shared" si="45"/>
        <v>24189</v>
      </c>
      <c r="U86" s="235">
        <f t="shared" si="45"/>
        <v>0</v>
      </c>
      <c r="V86" s="267">
        <f t="shared" si="45"/>
        <v>852200</v>
      </c>
      <c r="W86" s="267">
        <f t="shared" si="45"/>
        <v>0</v>
      </c>
      <c r="X86" s="267">
        <f t="shared" si="45"/>
        <v>0</v>
      </c>
      <c r="Y86" s="267" t="e">
        <f t="shared" si="45"/>
        <v>#DIV/0!</v>
      </c>
      <c r="Z86" s="235"/>
      <c r="AA86" s="235"/>
      <c r="AB86" s="267">
        <f>SUBTOTAL(9,AB68:AB85)</f>
        <v>0</v>
      </c>
      <c r="AC86" s="267">
        <f>SUBTOTAL(9,AC68:AC85)</f>
        <v>0</v>
      </c>
      <c r="AD86" s="267" t="e">
        <f>SUBTOTAL(9,AD68:AD85)</f>
        <v>#DIV/0!</v>
      </c>
      <c r="AE86" s="235"/>
      <c r="AF86" s="235"/>
      <c r="AG86" s="267">
        <f>SUBTOTAL(9,AG68:AG85)</f>
        <v>0</v>
      </c>
    </row>
    <row r="87" spans="1:33" ht="16.899999999999999" customHeight="1" outlineLevel="2">
      <c r="A87" s="193" t="s">
        <v>26</v>
      </c>
      <c r="B87" s="193" t="s">
        <v>191</v>
      </c>
      <c r="C87" s="193" t="s">
        <v>192</v>
      </c>
      <c r="D87" s="193" t="s">
        <v>193</v>
      </c>
      <c r="E87" s="193" t="s">
        <v>193</v>
      </c>
      <c r="F87" s="193" t="s">
        <v>194</v>
      </c>
      <c r="G87" s="235">
        <v>108275</v>
      </c>
      <c r="H87" s="235">
        <v>1301.2600000000002</v>
      </c>
      <c r="I87" s="235">
        <v>148.38999999999999</v>
      </c>
      <c r="J87" s="235">
        <v>108275</v>
      </c>
      <c r="K87" s="235">
        <v>5000</v>
      </c>
      <c r="L87" s="235">
        <v>5000</v>
      </c>
      <c r="M87" s="235">
        <v>10000</v>
      </c>
      <c r="N87" s="235">
        <v>10000</v>
      </c>
      <c r="O87" s="235">
        <v>10000</v>
      </c>
      <c r="P87" s="235">
        <v>10000</v>
      </c>
      <c r="Q87" s="235">
        <v>10000</v>
      </c>
      <c r="R87" s="235">
        <v>30000</v>
      </c>
      <c r="S87" s="235">
        <v>18275</v>
      </c>
      <c r="T87" s="235">
        <v>0</v>
      </c>
      <c r="U87" s="235">
        <v>0</v>
      </c>
      <c r="V87" s="267">
        <f t="shared" si="18"/>
        <v>108275</v>
      </c>
      <c r="W87" s="267">
        <f t="shared" si="19"/>
        <v>0</v>
      </c>
      <c r="X87" s="267">
        <f t="shared" si="20"/>
        <v>0</v>
      </c>
      <c r="Y87" s="267" t="e">
        <f t="shared" si="26"/>
        <v>#DIV/0!</v>
      </c>
      <c r="Z87" s="113" t="str">
        <f t="shared" ref="Z87:Z98" si="46">IFERROR(Y87/V87,"")</f>
        <v/>
      </c>
      <c r="AA87" s="113" t="str">
        <f t="shared" ref="AA87:AA98" si="47">INDEX(Z$5:Z$99,MATCH($D87,$E$5:$E$99,0))</f>
        <v/>
      </c>
      <c r="AB87" s="267">
        <f t="shared" si="27"/>
        <v>0</v>
      </c>
      <c r="AC87" s="267">
        <f t="shared" si="23"/>
        <v>0</v>
      </c>
      <c r="AD87" s="267" t="e">
        <f t="shared" si="28"/>
        <v>#DIV/0!</v>
      </c>
      <c r="AE87" s="113" t="str">
        <f t="shared" ref="AE87:AE98" si="48">IFERROR(AD87/V87,"")</f>
        <v/>
      </c>
      <c r="AF87" s="113" t="str">
        <f t="shared" ref="AF87:AF98" si="49">INDEX(AE$5:AE$99,MATCH($D87,E$5:E$99,0))</f>
        <v/>
      </c>
      <c r="AG87" s="267">
        <f t="shared" si="29"/>
        <v>0</v>
      </c>
    </row>
    <row r="88" spans="1:33" ht="16.899999999999999" customHeight="1" outlineLevel="2">
      <c r="A88" s="193" t="s">
        <v>26</v>
      </c>
      <c r="B88" s="193" t="s">
        <v>191</v>
      </c>
      <c r="C88" s="193" t="s">
        <v>192</v>
      </c>
      <c r="D88" s="193" t="s">
        <v>195</v>
      </c>
      <c r="E88" s="193" t="s">
        <v>195</v>
      </c>
      <c r="F88" s="193" t="s">
        <v>196</v>
      </c>
      <c r="G88" s="235">
        <v>40006</v>
      </c>
      <c r="H88" s="235">
        <v>1301.2600000000002</v>
      </c>
      <c r="I88" s="235">
        <v>148.38999999999999</v>
      </c>
      <c r="J88" s="235">
        <v>40006</v>
      </c>
      <c r="K88" s="235">
        <v>5000</v>
      </c>
      <c r="L88" s="235">
        <v>5000</v>
      </c>
      <c r="M88" s="235">
        <v>10000</v>
      </c>
      <c r="N88" s="235">
        <v>10000</v>
      </c>
      <c r="O88" s="235">
        <v>10000</v>
      </c>
      <c r="P88" s="235">
        <v>6</v>
      </c>
      <c r="Q88" s="235">
        <v>0</v>
      </c>
      <c r="R88" s="235">
        <v>0</v>
      </c>
      <c r="S88" s="235">
        <v>0</v>
      </c>
      <c r="T88" s="235">
        <v>0</v>
      </c>
      <c r="U88" s="235">
        <v>0</v>
      </c>
      <c r="V88" s="267">
        <f t="shared" si="18"/>
        <v>40006</v>
      </c>
      <c r="W88" s="267">
        <f t="shared" si="19"/>
        <v>0</v>
      </c>
      <c r="X88" s="267">
        <f t="shared" si="20"/>
        <v>0</v>
      </c>
      <c r="Y88" s="267" t="e">
        <f t="shared" si="26"/>
        <v>#DIV/0!</v>
      </c>
      <c r="Z88" s="113" t="str">
        <f t="shared" si="46"/>
        <v/>
      </c>
      <c r="AA88" s="113" t="str">
        <f t="shared" si="47"/>
        <v/>
      </c>
      <c r="AB88" s="267">
        <f t="shared" si="27"/>
        <v>0</v>
      </c>
      <c r="AC88" s="267">
        <f t="shared" si="23"/>
        <v>0</v>
      </c>
      <c r="AD88" s="267" t="e">
        <f t="shared" si="28"/>
        <v>#DIV/0!</v>
      </c>
      <c r="AE88" s="113" t="str">
        <f t="shared" si="48"/>
        <v/>
      </c>
      <c r="AF88" s="113" t="str">
        <f t="shared" si="49"/>
        <v/>
      </c>
      <c r="AG88" s="267">
        <f t="shared" si="29"/>
        <v>0</v>
      </c>
    </row>
    <row r="89" spans="1:33" ht="16.899999999999999" customHeight="1" outlineLevel="2">
      <c r="A89" s="193" t="s">
        <v>26</v>
      </c>
      <c r="B89" s="193" t="s">
        <v>191</v>
      </c>
      <c r="C89" s="193" t="s">
        <v>192</v>
      </c>
      <c r="D89" s="193" t="s">
        <v>197</v>
      </c>
      <c r="E89" s="193" t="s">
        <v>197</v>
      </c>
      <c r="F89" s="193" t="s">
        <v>198</v>
      </c>
      <c r="G89" s="235">
        <v>44954</v>
      </c>
      <c r="H89" s="235">
        <v>1301.2600000000002</v>
      </c>
      <c r="I89" s="235">
        <v>148.38999999999999</v>
      </c>
      <c r="J89" s="235">
        <v>44954</v>
      </c>
      <c r="K89" s="235">
        <v>5000</v>
      </c>
      <c r="L89" s="235">
        <v>5000</v>
      </c>
      <c r="M89" s="235">
        <v>10000</v>
      </c>
      <c r="N89" s="235">
        <v>10000</v>
      </c>
      <c r="O89" s="235">
        <v>10000</v>
      </c>
      <c r="P89" s="235">
        <v>4954</v>
      </c>
      <c r="Q89" s="235">
        <v>0</v>
      </c>
      <c r="R89" s="235">
        <v>0</v>
      </c>
      <c r="S89" s="235">
        <v>0</v>
      </c>
      <c r="T89" s="235">
        <v>0</v>
      </c>
      <c r="U89" s="235">
        <v>0</v>
      </c>
      <c r="V89" s="267">
        <f t="shared" ref="V89:V98" si="50">SUM(K89:U89)</f>
        <v>44954</v>
      </c>
      <c r="W89" s="267">
        <f t="shared" ref="W89:W98" si="51">SUMPRODUCT($K$3:$U$3,$K89:$U89)</f>
        <v>0</v>
      </c>
      <c r="X89" s="267">
        <f t="shared" ref="X89:X98" si="52">ROUND(W89*H89,2)</f>
        <v>0</v>
      </c>
      <c r="Y89" s="267" t="e">
        <f t="shared" si="26"/>
        <v>#DIV/0!</v>
      </c>
      <c r="Z89" s="113" t="str">
        <f t="shared" si="46"/>
        <v/>
      </c>
      <c r="AA89" s="113" t="str">
        <f t="shared" si="47"/>
        <v/>
      </c>
      <c r="AB89" s="267">
        <f t="shared" si="27"/>
        <v>0</v>
      </c>
      <c r="AC89" s="267">
        <f t="shared" ref="AC89:AC98" si="53">ROUND(W89*I89,2)</f>
        <v>0</v>
      </c>
      <c r="AD89" s="267" t="e">
        <f t="shared" si="28"/>
        <v>#DIV/0!</v>
      </c>
      <c r="AE89" s="113" t="str">
        <f t="shared" si="48"/>
        <v/>
      </c>
      <c r="AF89" s="113" t="str">
        <f t="shared" si="49"/>
        <v/>
      </c>
      <c r="AG89" s="267">
        <f t="shared" si="29"/>
        <v>0</v>
      </c>
    </row>
    <row r="90" spans="1:33" ht="16.899999999999999" customHeight="1" outlineLevel="2">
      <c r="A90" s="193" t="s">
        <v>26</v>
      </c>
      <c r="B90" s="193" t="s">
        <v>191</v>
      </c>
      <c r="C90" s="193" t="s">
        <v>192</v>
      </c>
      <c r="D90" s="193" t="s">
        <v>199</v>
      </c>
      <c r="E90" s="193" t="s">
        <v>199</v>
      </c>
      <c r="F90" s="193" t="s">
        <v>200</v>
      </c>
      <c r="G90" s="235">
        <v>27242</v>
      </c>
      <c r="H90" s="235">
        <v>1301.2600000000002</v>
      </c>
      <c r="I90" s="235">
        <v>148.38999999999999</v>
      </c>
      <c r="J90" s="235">
        <v>27242</v>
      </c>
      <c r="K90" s="235">
        <v>5000</v>
      </c>
      <c r="L90" s="235">
        <v>5000</v>
      </c>
      <c r="M90" s="235">
        <v>10000</v>
      </c>
      <c r="N90" s="235">
        <v>7242</v>
      </c>
      <c r="O90" s="235">
        <v>0</v>
      </c>
      <c r="P90" s="235">
        <v>0</v>
      </c>
      <c r="Q90" s="235">
        <v>0</v>
      </c>
      <c r="R90" s="235">
        <v>0</v>
      </c>
      <c r="S90" s="235">
        <v>0</v>
      </c>
      <c r="T90" s="235">
        <v>0</v>
      </c>
      <c r="U90" s="235">
        <v>0</v>
      </c>
      <c r="V90" s="267">
        <f t="shared" si="50"/>
        <v>27242</v>
      </c>
      <c r="W90" s="267">
        <f t="shared" si="51"/>
        <v>0</v>
      </c>
      <c r="X90" s="267">
        <f t="shared" si="52"/>
        <v>0</v>
      </c>
      <c r="Y90" s="267" t="e">
        <f t="shared" ref="Y90:Y98" si="54">ROUND(X90*$Y$3/$X$3,2)</f>
        <v>#DIV/0!</v>
      </c>
      <c r="Z90" s="113" t="str">
        <f t="shared" si="46"/>
        <v/>
      </c>
      <c r="AA90" s="113" t="str">
        <f t="shared" si="47"/>
        <v/>
      </c>
      <c r="AB90" s="267">
        <f t="shared" ref="AB90:AB98" si="55">IFERROR(ROUND(G90*AA90,2),0)</f>
        <v>0</v>
      </c>
      <c r="AC90" s="267">
        <f t="shared" si="53"/>
        <v>0</v>
      </c>
      <c r="AD90" s="267" t="e">
        <f t="shared" ref="AD90:AD98" si="56">ROUND(AC90*$AD$3/$AC$3,2)</f>
        <v>#DIV/0!</v>
      </c>
      <c r="AE90" s="113" t="str">
        <f t="shared" si="48"/>
        <v/>
      </c>
      <c r="AF90" s="113" t="str">
        <f t="shared" si="49"/>
        <v/>
      </c>
      <c r="AG90" s="267">
        <f t="shared" ref="AG90:AG98" si="57">IFERROR(ROUND(G90*AF90,2),0)</f>
        <v>0</v>
      </c>
    </row>
    <row r="91" spans="1:33" ht="16.899999999999999" customHeight="1" outlineLevel="2">
      <c r="A91" s="193" t="s">
        <v>26</v>
      </c>
      <c r="B91" s="193" t="s">
        <v>191</v>
      </c>
      <c r="C91" s="193" t="s">
        <v>192</v>
      </c>
      <c r="D91" s="193" t="s">
        <v>201</v>
      </c>
      <c r="E91" s="193" t="s">
        <v>201</v>
      </c>
      <c r="F91" s="193" t="s">
        <v>202</v>
      </c>
      <c r="G91" s="235">
        <v>17875</v>
      </c>
      <c r="H91" s="235">
        <v>1301.2600000000002</v>
      </c>
      <c r="I91" s="235">
        <v>148.38999999999999</v>
      </c>
      <c r="J91" s="235">
        <v>17875</v>
      </c>
      <c r="K91" s="235">
        <v>5000</v>
      </c>
      <c r="L91" s="235">
        <v>5000</v>
      </c>
      <c r="M91" s="235">
        <v>7875</v>
      </c>
      <c r="N91" s="235">
        <v>0</v>
      </c>
      <c r="O91" s="235">
        <v>0</v>
      </c>
      <c r="P91" s="235">
        <v>0</v>
      </c>
      <c r="Q91" s="235">
        <v>0</v>
      </c>
      <c r="R91" s="235">
        <v>0</v>
      </c>
      <c r="S91" s="235">
        <v>0</v>
      </c>
      <c r="T91" s="235">
        <v>0</v>
      </c>
      <c r="U91" s="235">
        <v>0</v>
      </c>
      <c r="V91" s="267">
        <f t="shared" si="50"/>
        <v>17875</v>
      </c>
      <c r="W91" s="267">
        <f t="shared" si="51"/>
        <v>0</v>
      </c>
      <c r="X91" s="267">
        <f t="shared" si="52"/>
        <v>0</v>
      </c>
      <c r="Y91" s="267" t="e">
        <f t="shared" si="54"/>
        <v>#DIV/0!</v>
      </c>
      <c r="Z91" s="113" t="str">
        <f t="shared" si="46"/>
        <v/>
      </c>
      <c r="AA91" s="113" t="str">
        <f t="shared" si="47"/>
        <v/>
      </c>
      <c r="AB91" s="267">
        <f t="shared" si="55"/>
        <v>0</v>
      </c>
      <c r="AC91" s="267">
        <f t="shared" si="53"/>
        <v>0</v>
      </c>
      <c r="AD91" s="267" t="e">
        <f t="shared" si="56"/>
        <v>#DIV/0!</v>
      </c>
      <c r="AE91" s="113" t="str">
        <f t="shared" si="48"/>
        <v/>
      </c>
      <c r="AF91" s="113" t="str">
        <f t="shared" si="49"/>
        <v/>
      </c>
      <c r="AG91" s="267">
        <f t="shared" si="57"/>
        <v>0</v>
      </c>
    </row>
    <row r="92" spans="1:33" ht="16.899999999999999" customHeight="1" outlineLevel="2">
      <c r="A92" s="193" t="s">
        <v>26</v>
      </c>
      <c r="B92" s="193" t="s">
        <v>191</v>
      </c>
      <c r="C92" s="193" t="s">
        <v>192</v>
      </c>
      <c r="D92" s="193" t="s">
        <v>203</v>
      </c>
      <c r="E92" s="193" t="s">
        <v>203</v>
      </c>
      <c r="F92" s="193" t="s">
        <v>204</v>
      </c>
      <c r="G92" s="235">
        <v>32984</v>
      </c>
      <c r="H92" s="235">
        <v>1301.2600000000002</v>
      </c>
      <c r="I92" s="235">
        <v>148.38999999999999</v>
      </c>
      <c r="J92" s="235">
        <v>32984</v>
      </c>
      <c r="K92" s="235">
        <v>5000</v>
      </c>
      <c r="L92" s="235">
        <v>5000</v>
      </c>
      <c r="M92" s="235">
        <v>10000</v>
      </c>
      <c r="N92" s="235">
        <v>10000</v>
      </c>
      <c r="O92" s="235">
        <v>2984</v>
      </c>
      <c r="P92" s="235">
        <v>0</v>
      </c>
      <c r="Q92" s="235">
        <v>0</v>
      </c>
      <c r="R92" s="235">
        <v>0</v>
      </c>
      <c r="S92" s="235">
        <v>0</v>
      </c>
      <c r="T92" s="235">
        <v>0</v>
      </c>
      <c r="U92" s="235">
        <v>0</v>
      </c>
      <c r="V92" s="267">
        <f t="shared" si="50"/>
        <v>32984</v>
      </c>
      <c r="W92" s="267">
        <f t="shared" si="51"/>
        <v>0</v>
      </c>
      <c r="X92" s="267">
        <f t="shared" si="52"/>
        <v>0</v>
      </c>
      <c r="Y92" s="267" t="e">
        <f t="shared" si="54"/>
        <v>#DIV/0!</v>
      </c>
      <c r="Z92" s="113" t="str">
        <f t="shared" si="46"/>
        <v/>
      </c>
      <c r="AA92" s="113" t="str">
        <f t="shared" si="47"/>
        <v/>
      </c>
      <c r="AB92" s="267">
        <f t="shared" si="55"/>
        <v>0</v>
      </c>
      <c r="AC92" s="267">
        <f t="shared" si="53"/>
        <v>0</v>
      </c>
      <c r="AD92" s="267" t="e">
        <f t="shared" si="56"/>
        <v>#DIV/0!</v>
      </c>
      <c r="AE92" s="113" t="str">
        <f t="shared" si="48"/>
        <v/>
      </c>
      <c r="AF92" s="113" t="str">
        <f t="shared" si="49"/>
        <v/>
      </c>
      <c r="AG92" s="267">
        <f t="shared" si="57"/>
        <v>0</v>
      </c>
    </row>
    <row r="93" spans="1:33" ht="16.899999999999999" customHeight="1" outlineLevel="2">
      <c r="A93" s="193" t="s">
        <v>26</v>
      </c>
      <c r="B93" s="193" t="s">
        <v>191</v>
      </c>
      <c r="C93" s="193" t="s">
        <v>192</v>
      </c>
      <c r="D93" s="193" t="s">
        <v>205</v>
      </c>
      <c r="E93" s="193" t="s">
        <v>205</v>
      </c>
      <c r="F93" s="193" t="s">
        <v>206</v>
      </c>
      <c r="G93" s="235">
        <v>55230</v>
      </c>
      <c r="H93" s="235">
        <v>1301.2600000000002</v>
      </c>
      <c r="I93" s="235">
        <v>148.38999999999999</v>
      </c>
      <c r="J93" s="235">
        <v>55230</v>
      </c>
      <c r="K93" s="235">
        <v>5000</v>
      </c>
      <c r="L93" s="235">
        <v>5000</v>
      </c>
      <c r="M93" s="235">
        <v>10000</v>
      </c>
      <c r="N93" s="235">
        <v>10000</v>
      </c>
      <c r="O93" s="235">
        <v>10000</v>
      </c>
      <c r="P93" s="235">
        <v>10000</v>
      </c>
      <c r="Q93" s="235">
        <v>5230</v>
      </c>
      <c r="R93" s="235">
        <v>0</v>
      </c>
      <c r="S93" s="235">
        <v>0</v>
      </c>
      <c r="T93" s="235">
        <v>0</v>
      </c>
      <c r="U93" s="235">
        <v>0</v>
      </c>
      <c r="V93" s="267">
        <f t="shared" si="50"/>
        <v>55230</v>
      </c>
      <c r="W93" s="267">
        <f t="shared" si="51"/>
        <v>0</v>
      </c>
      <c r="X93" s="267">
        <f t="shared" si="52"/>
        <v>0</v>
      </c>
      <c r="Y93" s="267" t="e">
        <f t="shared" si="54"/>
        <v>#DIV/0!</v>
      </c>
      <c r="Z93" s="113" t="str">
        <f t="shared" si="46"/>
        <v/>
      </c>
      <c r="AA93" s="113" t="str">
        <f t="shared" si="47"/>
        <v/>
      </c>
      <c r="AB93" s="267">
        <f t="shared" si="55"/>
        <v>0</v>
      </c>
      <c r="AC93" s="267">
        <f t="shared" si="53"/>
        <v>0</v>
      </c>
      <c r="AD93" s="267" t="e">
        <f t="shared" si="56"/>
        <v>#DIV/0!</v>
      </c>
      <c r="AE93" s="113" t="str">
        <f t="shared" si="48"/>
        <v/>
      </c>
      <c r="AF93" s="113" t="str">
        <f t="shared" si="49"/>
        <v/>
      </c>
      <c r="AG93" s="267">
        <f t="shared" si="57"/>
        <v>0</v>
      </c>
    </row>
    <row r="94" spans="1:33" ht="16.899999999999999" customHeight="1" outlineLevel="2">
      <c r="A94" s="193" t="s">
        <v>26</v>
      </c>
      <c r="B94" s="193" t="s">
        <v>191</v>
      </c>
      <c r="C94" s="193" t="s">
        <v>192</v>
      </c>
      <c r="D94" s="193" t="s">
        <v>207</v>
      </c>
      <c r="E94" s="193" t="s">
        <v>207</v>
      </c>
      <c r="F94" s="193" t="s">
        <v>208</v>
      </c>
      <c r="G94" s="235">
        <v>53839</v>
      </c>
      <c r="H94" s="235">
        <v>1301.2600000000002</v>
      </c>
      <c r="I94" s="235">
        <v>148.38999999999999</v>
      </c>
      <c r="J94" s="235">
        <v>53839</v>
      </c>
      <c r="K94" s="235">
        <v>5000</v>
      </c>
      <c r="L94" s="235">
        <v>5000</v>
      </c>
      <c r="M94" s="235">
        <v>10000</v>
      </c>
      <c r="N94" s="235">
        <v>10000</v>
      </c>
      <c r="O94" s="235">
        <v>10000</v>
      </c>
      <c r="P94" s="235">
        <v>10000</v>
      </c>
      <c r="Q94" s="235">
        <v>3839</v>
      </c>
      <c r="R94" s="235">
        <v>0</v>
      </c>
      <c r="S94" s="235">
        <v>0</v>
      </c>
      <c r="T94" s="235">
        <v>0</v>
      </c>
      <c r="U94" s="235">
        <v>0</v>
      </c>
      <c r="V94" s="267">
        <f t="shared" si="50"/>
        <v>53839</v>
      </c>
      <c r="W94" s="267">
        <f t="shared" si="51"/>
        <v>0</v>
      </c>
      <c r="X94" s="267">
        <f t="shared" si="52"/>
        <v>0</v>
      </c>
      <c r="Y94" s="267" t="e">
        <f t="shared" si="54"/>
        <v>#DIV/0!</v>
      </c>
      <c r="Z94" s="113" t="str">
        <f t="shared" si="46"/>
        <v/>
      </c>
      <c r="AA94" s="113" t="str">
        <f t="shared" si="47"/>
        <v/>
      </c>
      <c r="AB94" s="267">
        <f t="shared" si="55"/>
        <v>0</v>
      </c>
      <c r="AC94" s="267">
        <f t="shared" si="53"/>
        <v>0</v>
      </c>
      <c r="AD94" s="267" t="e">
        <f t="shared" si="56"/>
        <v>#DIV/0!</v>
      </c>
      <c r="AE94" s="113" t="str">
        <f t="shared" si="48"/>
        <v/>
      </c>
      <c r="AF94" s="113" t="str">
        <f t="shared" si="49"/>
        <v/>
      </c>
      <c r="AG94" s="267">
        <f t="shared" si="57"/>
        <v>0</v>
      </c>
    </row>
    <row r="95" spans="1:33" ht="16.899999999999999" customHeight="1" outlineLevel="2">
      <c r="A95" s="193" t="s">
        <v>26</v>
      </c>
      <c r="B95" s="193" t="s">
        <v>191</v>
      </c>
      <c r="C95" s="193" t="s">
        <v>192</v>
      </c>
      <c r="D95" s="193" t="s">
        <v>209</v>
      </c>
      <c r="E95" s="193" t="s">
        <v>209</v>
      </c>
      <c r="F95" s="193" t="s">
        <v>210</v>
      </c>
      <c r="G95" s="235">
        <v>38222</v>
      </c>
      <c r="H95" s="235">
        <v>1301.2600000000002</v>
      </c>
      <c r="I95" s="235">
        <v>148.38999999999999</v>
      </c>
      <c r="J95" s="235">
        <v>38222</v>
      </c>
      <c r="K95" s="235">
        <v>5000</v>
      </c>
      <c r="L95" s="235">
        <v>5000</v>
      </c>
      <c r="M95" s="235">
        <v>10000</v>
      </c>
      <c r="N95" s="235">
        <v>10000</v>
      </c>
      <c r="O95" s="235">
        <v>8222</v>
      </c>
      <c r="P95" s="235">
        <v>0</v>
      </c>
      <c r="Q95" s="235">
        <v>0</v>
      </c>
      <c r="R95" s="235">
        <v>0</v>
      </c>
      <c r="S95" s="235">
        <v>0</v>
      </c>
      <c r="T95" s="235">
        <v>0</v>
      </c>
      <c r="U95" s="235">
        <v>0</v>
      </c>
      <c r="V95" s="267">
        <f t="shared" si="50"/>
        <v>38222</v>
      </c>
      <c r="W95" s="267">
        <f t="shared" si="51"/>
        <v>0</v>
      </c>
      <c r="X95" s="267">
        <f t="shared" si="52"/>
        <v>0</v>
      </c>
      <c r="Y95" s="267" t="e">
        <f t="shared" si="54"/>
        <v>#DIV/0!</v>
      </c>
      <c r="Z95" s="113" t="str">
        <f t="shared" si="46"/>
        <v/>
      </c>
      <c r="AA95" s="113" t="str">
        <f t="shared" si="47"/>
        <v/>
      </c>
      <c r="AB95" s="267">
        <f t="shared" si="55"/>
        <v>0</v>
      </c>
      <c r="AC95" s="267">
        <f t="shared" si="53"/>
        <v>0</v>
      </c>
      <c r="AD95" s="267" t="e">
        <f t="shared" si="56"/>
        <v>#DIV/0!</v>
      </c>
      <c r="AE95" s="113" t="str">
        <f t="shared" si="48"/>
        <v/>
      </c>
      <c r="AF95" s="113" t="str">
        <f t="shared" si="49"/>
        <v/>
      </c>
      <c r="AG95" s="267">
        <f t="shared" si="57"/>
        <v>0</v>
      </c>
    </row>
    <row r="96" spans="1:33" ht="16.899999999999999" customHeight="1" outlineLevel="2">
      <c r="A96" s="193" t="s">
        <v>26</v>
      </c>
      <c r="B96" s="193" t="s">
        <v>191</v>
      </c>
      <c r="C96" s="193" t="s">
        <v>192</v>
      </c>
      <c r="D96" s="193" t="s">
        <v>211</v>
      </c>
      <c r="E96" s="193" t="s">
        <v>211</v>
      </c>
      <c r="F96" s="193" t="s">
        <v>212</v>
      </c>
      <c r="G96" s="235">
        <v>43811</v>
      </c>
      <c r="H96" s="235">
        <v>1301.2600000000002</v>
      </c>
      <c r="I96" s="235">
        <v>148.38999999999999</v>
      </c>
      <c r="J96" s="235">
        <v>43811</v>
      </c>
      <c r="K96" s="235">
        <v>5000</v>
      </c>
      <c r="L96" s="235">
        <v>5000</v>
      </c>
      <c r="M96" s="235">
        <v>10000</v>
      </c>
      <c r="N96" s="235">
        <v>10000</v>
      </c>
      <c r="O96" s="235">
        <v>10000</v>
      </c>
      <c r="P96" s="235">
        <v>3811</v>
      </c>
      <c r="Q96" s="235">
        <v>0</v>
      </c>
      <c r="R96" s="235">
        <v>0</v>
      </c>
      <c r="S96" s="235">
        <v>0</v>
      </c>
      <c r="T96" s="235">
        <v>0</v>
      </c>
      <c r="U96" s="235">
        <v>0</v>
      </c>
      <c r="V96" s="267">
        <f t="shared" si="50"/>
        <v>43811</v>
      </c>
      <c r="W96" s="267">
        <f t="shared" si="51"/>
        <v>0</v>
      </c>
      <c r="X96" s="267">
        <f t="shared" si="52"/>
        <v>0</v>
      </c>
      <c r="Y96" s="267" t="e">
        <f t="shared" si="54"/>
        <v>#DIV/0!</v>
      </c>
      <c r="Z96" s="113" t="str">
        <f t="shared" si="46"/>
        <v/>
      </c>
      <c r="AA96" s="113" t="str">
        <f t="shared" si="47"/>
        <v/>
      </c>
      <c r="AB96" s="267">
        <f t="shared" si="55"/>
        <v>0</v>
      </c>
      <c r="AC96" s="267">
        <f t="shared" si="53"/>
        <v>0</v>
      </c>
      <c r="AD96" s="267" t="e">
        <f t="shared" si="56"/>
        <v>#DIV/0!</v>
      </c>
      <c r="AE96" s="113" t="str">
        <f t="shared" si="48"/>
        <v/>
      </c>
      <c r="AF96" s="113" t="str">
        <f t="shared" si="49"/>
        <v/>
      </c>
      <c r="AG96" s="267">
        <f t="shared" si="57"/>
        <v>0</v>
      </c>
    </row>
    <row r="97" spans="1:33" ht="16.899999999999999" customHeight="1" outlineLevel="2">
      <c r="A97" s="193" t="s">
        <v>26</v>
      </c>
      <c r="B97" s="193" t="s">
        <v>191</v>
      </c>
      <c r="C97" s="193" t="s">
        <v>192</v>
      </c>
      <c r="D97" s="193" t="s">
        <v>213</v>
      </c>
      <c r="E97" s="193" t="s">
        <v>213</v>
      </c>
      <c r="F97" s="193" t="s">
        <v>214</v>
      </c>
      <c r="G97" s="235">
        <v>61265</v>
      </c>
      <c r="H97" s="235">
        <v>1301.2600000000002</v>
      </c>
      <c r="I97" s="235">
        <v>148.38999999999999</v>
      </c>
      <c r="J97" s="235">
        <v>61265</v>
      </c>
      <c r="K97" s="235">
        <v>5000</v>
      </c>
      <c r="L97" s="235">
        <v>5000</v>
      </c>
      <c r="M97" s="235">
        <v>10000</v>
      </c>
      <c r="N97" s="235">
        <v>10000</v>
      </c>
      <c r="O97" s="235">
        <v>10000</v>
      </c>
      <c r="P97" s="235">
        <v>10000</v>
      </c>
      <c r="Q97" s="235">
        <v>10000</v>
      </c>
      <c r="R97" s="235">
        <v>1265</v>
      </c>
      <c r="S97" s="235">
        <v>0</v>
      </c>
      <c r="T97" s="235">
        <v>0</v>
      </c>
      <c r="U97" s="235">
        <v>0</v>
      </c>
      <c r="V97" s="267">
        <f t="shared" si="50"/>
        <v>61265</v>
      </c>
      <c r="W97" s="267">
        <f t="shared" si="51"/>
        <v>0</v>
      </c>
      <c r="X97" s="267">
        <f t="shared" si="52"/>
        <v>0</v>
      </c>
      <c r="Y97" s="267" t="e">
        <f t="shared" si="54"/>
        <v>#DIV/0!</v>
      </c>
      <c r="Z97" s="113" t="str">
        <f t="shared" si="46"/>
        <v/>
      </c>
      <c r="AA97" s="113" t="str">
        <f t="shared" si="47"/>
        <v/>
      </c>
      <c r="AB97" s="267">
        <f t="shared" si="55"/>
        <v>0</v>
      </c>
      <c r="AC97" s="267">
        <f t="shared" si="53"/>
        <v>0</v>
      </c>
      <c r="AD97" s="267" t="e">
        <f t="shared" si="56"/>
        <v>#DIV/0!</v>
      </c>
      <c r="AE97" s="113" t="str">
        <f t="shared" si="48"/>
        <v/>
      </c>
      <c r="AF97" s="113" t="str">
        <f t="shared" si="49"/>
        <v/>
      </c>
      <c r="AG97" s="267">
        <f t="shared" si="57"/>
        <v>0</v>
      </c>
    </row>
    <row r="98" spans="1:33" ht="16.899999999999999" customHeight="1" outlineLevel="2">
      <c r="A98" s="193" t="s">
        <v>26</v>
      </c>
      <c r="B98" s="193" t="s">
        <v>191</v>
      </c>
      <c r="C98" s="193" t="s">
        <v>192</v>
      </c>
      <c r="D98" s="193" t="s">
        <v>215</v>
      </c>
      <c r="E98" s="193" t="s">
        <v>215</v>
      </c>
      <c r="F98" s="193" t="s">
        <v>216</v>
      </c>
      <c r="G98" s="235">
        <v>11685</v>
      </c>
      <c r="H98" s="235">
        <v>1301.2600000000002</v>
      </c>
      <c r="I98" s="235">
        <v>148.38999999999999</v>
      </c>
      <c r="J98" s="235">
        <v>11685</v>
      </c>
      <c r="K98" s="235">
        <v>5000</v>
      </c>
      <c r="L98" s="235">
        <v>5000</v>
      </c>
      <c r="M98" s="235">
        <v>1685</v>
      </c>
      <c r="N98" s="235">
        <v>0</v>
      </c>
      <c r="O98" s="235">
        <v>0</v>
      </c>
      <c r="P98" s="235">
        <v>0</v>
      </c>
      <c r="Q98" s="235">
        <v>0</v>
      </c>
      <c r="R98" s="235">
        <v>0</v>
      </c>
      <c r="S98" s="235">
        <v>0</v>
      </c>
      <c r="T98" s="235">
        <v>0</v>
      </c>
      <c r="U98" s="235">
        <v>0</v>
      </c>
      <c r="V98" s="267">
        <f t="shared" si="50"/>
        <v>11685</v>
      </c>
      <c r="W98" s="267">
        <f t="shared" si="51"/>
        <v>0</v>
      </c>
      <c r="X98" s="267">
        <f t="shared" si="52"/>
        <v>0</v>
      </c>
      <c r="Y98" s="267" t="e">
        <f t="shared" si="54"/>
        <v>#DIV/0!</v>
      </c>
      <c r="Z98" s="113" t="str">
        <f t="shared" si="46"/>
        <v/>
      </c>
      <c r="AA98" s="113" t="str">
        <f t="shared" si="47"/>
        <v/>
      </c>
      <c r="AB98" s="267">
        <f t="shared" si="55"/>
        <v>0</v>
      </c>
      <c r="AC98" s="267">
        <f t="shared" si="53"/>
        <v>0</v>
      </c>
      <c r="AD98" s="267" t="e">
        <f t="shared" si="56"/>
        <v>#DIV/0!</v>
      </c>
      <c r="AE98" s="113" t="str">
        <f t="shared" si="48"/>
        <v/>
      </c>
      <c r="AF98" s="113" t="str">
        <f t="shared" si="49"/>
        <v/>
      </c>
      <c r="AG98" s="267">
        <f t="shared" si="57"/>
        <v>0</v>
      </c>
    </row>
    <row r="99" spans="1:33" ht="16.899999999999999" customHeight="1" outlineLevel="1">
      <c r="C99" s="193" t="s">
        <v>269</v>
      </c>
      <c r="G99" s="235">
        <f>SUBTOTAL(9,G87:G98)</f>
        <v>535388</v>
      </c>
      <c r="H99" s="235"/>
      <c r="I99" s="235"/>
      <c r="J99" s="235">
        <f t="shared" ref="J99:Y99" si="58">SUBTOTAL(9,J87:J98)</f>
        <v>535388</v>
      </c>
      <c r="K99" s="235">
        <f t="shared" si="58"/>
        <v>60000</v>
      </c>
      <c r="L99" s="235">
        <f t="shared" si="58"/>
        <v>60000</v>
      </c>
      <c r="M99" s="235">
        <f t="shared" si="58"/>
        <v>109560</v>
      </c>
      <c r="N99" s="235">
        <f t="shared" si="58"/>
        <v>97242</v>
      </c>
      <c r="O99" s="235">
        <f t="shared" si="58"/>
        <v>81206</v>
      </c>
      <c r="P99" s="235">
        <f t="shared" si="58"/>
        <v>48771</v>
      </c>
      <c r="Q99" s="235">
        <f t="shared" si="58"/>
        <v>29069</v>
      </c>
      <c r="R99" s="235">
        <f t="shared" si="58"/>
        <v>31265</v>
      </c>
      <c r="S99" s="235">
        <f t="shared" si="58"/>
        <v>18275</v>
      </c>
      <c r="T99" s="235">
        <f t="shared" si="58"/>
        <v>0</v>
      </c>
      <c r="U99" s="235">
        <f t="shared" si="58"/>
        <v>0</v>
      </c>
      <c r="V99" s="267">
        <f t="shared" si="58"/>
        <v>535388</v>
      </c>
      <c r="W99" s="267">
        <f t="shared" si="58"/>
        <v>0</v>
      </c>
      <c r="X99" s="267">
        <f t="shared" si="58"/>
        <v>0</v>
      </c>
      <c r="Y99" s="267" t="e">
        <f t="shared" si="58"/>
        <v>#DIV/0!</v>
      </c>
      <c r="Z99" s="235"/>
      <c r="AA99" s="235"/>
      <c r="AB99" s="267">
        <f>SUBTOTAL(9,AB87:AB98)</f>
        <v>0</v>
      </c>
      <c r="AC99" s="267">
        <f>SUBTOTAL(9,AC87:AC98)</f>
        <v>0</v>
      </c>
      <c r="AD99" s="267" t="e">
        <f>SUBTOTAL(9,AD87:AD98)</f>
        <v>#DIV/0!</v>
      </c>
      <c r="AE99" s="235"/>
      <c r="AF99" s="235"/>
      <c r="AG99" s="267">
        <f>SUBTOTAL(9,AG87:AG98)</f>
        <v>0</v>
      </c>
    </row>
    <row r="100" spans="1:33" ht="16.899999999999999" customHeight="1">
      <c r="C100" s="193" t="s">
        <v>270</v>
      </c>
      <c r="G100" s="235">
        <f>SUBTOTAL(9,G5:G99)</f>
        <v>4141896</v>
      </c>
      <c r="H100" s="235"/>
      <c r="I100" s="235"/>
      <c r="J100" s="235">
        <f t="shared" ref="J100:Y100" si="59">SUBTOTAL(9,J5:J99)</f>
        <v>4141896</v>
      </c>
      <c r="K100" s="235">
        <f t="shared" si="59"/>
        <v>439065</v>
      </c>
      <c r="L100" s="235">
        <f t="shared" si="59"/>
        <v>433844</v>
      </c>
      <c r="M100" s="235">
        <f t="shared" si="59"/>
        <v>816866</v>
      </c>
      <c r="N100" s="235">
        <f t="shared" si="59"/>
        <v>645247</v>
      </c>
      <c r="O100" s="235">
        <f t="shared" si="59"/>
        <v>462399</v>
      </c>
      <c r="P100" s="235">
        <f t="shared" si="59"/>
        <v>337280</v>
      </c>
      <c r="Q100" s="235">
        <f t="shared" si="59"/>
        <v>229903</v>
      </c>
      <c r="R100" s="235">
        <f t="shared" si="59"/>
        <v>460910</v>
      </c>
      <c r="S100" s="235">
        <f t="shared" si="59"/>
        <v>152890</v>
      </c>
      <c r="T100" s="235">
        <f t="shared" si="59"/>
        <v>54189</v>
      </c>
      <c r="U100" s="235">
        <f t="shared" si="59"/>
        <v>109303</v>
      </c>
      <c r="V100" s="267">
        <f t="shared" si="59"/>
        <v>4141896</v>
      </c>
      <c r="W100" s="267">
        <f t="shared" si="59"/>
        <v>0</v>
      </c>
      <c r="X100" s="267">
        <f t="shared" si="59"/>
        <v>0</v>
      </c>
      <c r="Y100" s="267" t="e">
        <f t="shared" si="59"/>
        <v>#DIV/0!</v>
      </c>
      <c r="Z100" s="235"/>
      <c r="AA100" s="235"/>
      <c r="AB100" s="267">
        <f>SUBTOTAL(9,AB5:AB99)</f>
        <v>0</v>
      </c>
      <c r="AC100" s="267">
        <f>SUBTOTAL(9,AC5:AC99)</f>
        <v>0</v>
      </c>
      <c r="AD100" s="267" t="e">
        <f>SUBTOTAL(9,AD5:AD99)</f>
        <v>#DIV/0!</v>
      </c>
      <c r="AE100" s="235"/>
      <c r="AF100" s="235"/>
      <c r="AG100" s="267">
        <f>SUBTOTAL(9,AG5:AG99)</f>
        <v>0</v>
      </c>
    </row>
    <row r="101" spans="1:33">
      <c r="Y101" s="267"/>
    </row>
    <row r="105" spans="1:33">
      <c r="E105" s="193">
        <v>1</v>
      </c>
      <c r="F105" s="193">
        <f>E105+1</f>
        <v>2</v>
      </c>
      <c r="G105" s="193">
        <f t="shared" ref="G105:AG105" si="60">F105+1</f>
        <v>3</v>
      </c>
      <c r="H105" s="193">
        <f t="shared" si="60"/>
        <v>4</v>
      </c>
      <c r="I105" s="193">
        <f t="shared" si="60"/>
        <v>5</v>
      </c>
      <c r="J105" s="193">
        <f t="shared" si="60"/>
        <v>6</v>
      </c>
      <c r="K105" s="193">
        <f t="shared" si="60"/>
        <v>7</v>
      </c>
      <c r="L105" s="193">
        <f t="shared" si="60"/>
        <v>8</v>
      </c>
      <c r="M105" s="193">
        <f t="shared" si="60"/>
        <v>9</v>
      </c>
      <c r="N105" s="193">
        <f t="shared" si="60"/>
        <v>10</v>
      </c>
      <c r="O105" s="193">
        <f t="shared" si="60"/>
        <v>11</v>
      </c>
      <c r="P105" s="193">
        <f t="shared" si="60"/>
        <v>12</v>
      </c>
      <c r="Q105" s="193">
        <f t="shared" si="60"/>
        <v>13</v>
      </c>
      <c r="R105" s="193">
        <f t="shared" si="60"/>
        <v>14</v>
      </c>
      <c r="S105" s="193">
        <f t="shared" si="60"/>
        <v>15</v>
      </c>
      <c r="T105" s="193">
        <f t="shared" si="60"/>
        <v>16</v>
      </c>
      <c r="U105" s="193">
        <f t="shared" si="60"/>
        <v>17</v>
      </c>
      <c r="V105" s="193">
        <f t="shared" si="60"/>
        <v>18</v>
      </c>
      <c r="W105" s="193">
        <f t="shared" si="60"/>
        <v>19</v>
      </c>
      <c r="X105" s="193">
        <f t="shared" si="60"/>
        <v>20</v>
      </c>
      <c r="Y105" s="193">
        <f t="shared" si="60"/>
        <v>21</v>
      </c>
      <c r="Z105" s="193">
        <f t="shared" si="60"/>
        <v>22</v>
      </c>
      <c r="AA105" s="193">
        <f t="shared" si="60"/>
        <v>23</v>
      </c>
      <c r="AB105" s="193">
        <f t="shared" si="60"/>
        <v>24</v>
      </c>
      <c r="AC105" s="193">
        <f t="shared" si="60"/>
        <v>25</v>
      </c>
      <c r="AD105" s="193">
        <f t="shared" si="60"/>
        <v>26</v>
      </c>
      <c r="AE105" s="193">
        <f t="shared" si="60"/>
        <v>27</v>
      </c>
      <c r="AF105" s="193">
        <f t="shared" si="60"/>
        <v>28</v>
      </c>
      <c r="AG105" s="193">
        <f t="shared" si="60"/>
        <v>29</v>
      </c>
    </row>
  </sheetData>
  <autoFilter ref="A4:AG99" xr:uid="{51F89EA3-E8E3-4669-AF37-6F7AF7976E72}"/>
  <conditionalFormatting sqref="K4:W4 V5:W100">
    <cfRule type="containsText" dxfId="6" priority="3" operator="containsText" text="minus">
      <formula>NOT(ISERROR(SEARCH("minus",K4)))</formula>
    </cfRule>
    <cfRule type="cellIs" dxfId="5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489C-5877-4363-A8B2-85A713A00D01}">
  <sheetPr codeName="Sheet1"/>
  <dimension ref="A1:C16"/>
  <sheetViews>
    <sheetView workbookViewId="0">
      <selection activeCell="L20" sqref="L20"/>
    </sheetView>
  </sheetViews>
  <sheetFormatPr defaultRowHeight="14.5"/>
  <cols>
    <col min="1" max="1" width="6.453125" customWidth="1"/>
  </cols>
  <sheetData>
    <row r="1" spans="1:3">
      <c r="A1" s="1" t="s">
        <v>0</v>
      </c>
    </row>
    <row r="2" spans="1:3">
      <c r="A2" t="s">
        <v>1</v>
      </c>
    </row>
    <row r="3" spans="1:3">
      <c r="B3" t="s">
        <v>318</v>
      </c>
    </row>
    <row r="4" spans="1:3">
      <c r="B4" t="s">
        <v>2</v>
      </c>
    </row>
    <row r="5" spans="1:3">
      <c r="B5" t="s">
        <v>361</v>
      </c>
    </row>
    <row r="6" spans="1:3">
      <c r="B6" t="s">
        <v>3</v>
      </c>
    </row>
    <row r="7" spans="1:3">
      <c r="C7" t="s">
        <v>363</v>
      </c>
    </row>
    <row r="8" spans="1:3">
      <c r="C8" t="s">
        <v>362</v>
      </c>
    </row>
    <row r="9" spans="1:3">
      <c r="C9" t="s">
        <v>426</v>
      </c>
    </row>
    <row r="10" spans="1:3">
      <c r="C10" t="s">
        <v>364</v>
      </c>
    </row>
    <row r="11" spans="1:3">
      <c r="C11" t="s">
        <v>365</v>
      </c>
    </row>
    <row r="12" spans="1:3">
      <c r="B12" t="s">
        <v>4</v>
      </c>
    </row>
    <row r="13" spans="1:3">
      <c r="A13" s="2"/>
      <c r="B13" s="3" t="s">
        <v>5</v>
      </c>
    </row>
    <row r="14" spans="1:3">
      <c r="A14" s="2" t="s">
        <v>6</v>
      </c>
    </row>
    <row r="15" spans="1:3">
      <c r="A15" s="2" t="s">
        <v>7</v>
      </c>
    </row>
    <row r="16" spans="1:3">
      <c r="A16" s="2" t="s">
        <v>8</v>
      </c>
    </row>
  </sheetData>
  <sheetProtection algorithmName="SHA-512" hashValue="Gwpdcka4jiRUSXkwhcnvFPp19aJXyrydFvoWj+WrOMNqzf9FQjt8MEza8Msky52kiHp4ZFCAR3ybEJAum1tQzQ==" saltValue="Sqk9f0wvR5q/6jLNBBYLE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16A4-7767-4AC7-AFC6-5ECDB880F875}">
  <sheetPr codeName="Sheet2"/>
  <dimension ref="A2:AA100"/>
  <sheetViews>
    <sheetView zoomScaleNormal="100" workbookViewId="0">
      <pane xSplit="6" ySplit="3" topLeftCell="G4" activePane="bottomRight" state="frozen"/>
      <selection activeCell="R915" sqref="R915"/>
      <selection pane="topRight" activeCell="R915" sqref="R915"/>
      <selection pane="bottomLeft" activeCell="R915" sqref="R915"/>
      <selection pane="bottomRight" activeCell="D111" sqref="D111"/>
    </sheetView>
  </sheetViews>
  <sheetFormatPr defaultColWidth="9" defaultRowHeight="13" outlineLevelRow="2"/>
  <cols>
    <col min="1" max="1" width="5.08984375" style="193" customWidth="1"/>
    <col min="2" max="2" width="8.08984375" style="193" customWidth="1"/>
    <col min="3" max="3" width="10.26953125" style="193" customWidth="1"/>
    <col min="4" max="4" width="11.26953125" style="193" customWidth="1"/>
    <col min="5" max="5" width="10.7265625" style="193" customWidth="1"/>
    <col min="6" max="6" width="25" style="193" customWidth="1"/>
    <col min="7" max="7" width="12.7265625" style="193" customWidth="1"/>
    <col min="8" max="9" width="9" style="193" customWidth="1"/>
    <col min="10" max="10" width="13.26953125" style="193" customWidth="1"/>
    <col min="11" max="13" width="12.7265625" style="193" customWidth="1"/>
    <col min="14" max="15" width="15.36328125" style="193" customWidth="1"/>
    <col min="16" max="18" width="14.7265625" style="193" customWidth="1"/>
    <col min="19" max="19" width="15.6328125" style="193" customWidth="1"/>
    <col min="20" max="20" width="14.7265625" style="193" customWidth="1"/>
    <col min="21" max="21" width="15.26953125" style="193" customWidth="1"/>
    <col min="22" max="22" width="16.36328125" style="193" customWidth="1"/>
    <col min="23" max="23" width="23.26953125" style="193" customWidth="1"/>
    <col min="24" max="24" width="21" style="193" customWidth="1"/>
    <col min="25" max="25" width="14" style="193" customWidth="1"/>
    <col min="26" max="16384" width="9" style="193"/>
  </cols>
  <sheetData>
    <row r="2" spans="1:27" ht="22.5" customHeight="1">
      <c r="A2" s="213"/>
      <c r="B2" s="204"/>
      <c r="C2" s="204"/>
      <c r="D2" s="204"/>
      <c r="E2" s="204"/>
      <c r="F2" s="204"/>
      <c r="G2" s="206" t="s">
        <v>222</v>
      </c>
      <c r="H2" s="206" t="s">
        <v>223</v>
      </c>
      <c r="I2" s="205" t="s">
        <v>224</v>
      </c>
      <c r="J2" s="205" t="s">
        <v>225</v>
      </c>
      <c r="K2" s="205" t="s">
        <v>226</v>
      </c>
      <c r="L2" s="207" t="s">
        <v>227</v>
      </c>
      <c r="M2" s="207" t="s">
        <v>235</v>
      </c>
      <c r="N2" s="207" t="s">
        <v>236</v>
      </c>
      <c r="O2" s="207" t="s">
        <v>237</v>
      </c>
      <c r="P2" s="207" t="s">
        <v>366</v>
      </c>
      <c r="Q2" s="207" t="s">
        <v>367</v>
      </c>
      <c r="R2" s="207" t="s">
        <v>313</v>
      </c>
      <c r="S2" s="207" t="s">
        <v>368</v>
      </c>
      <c r="T2" s="207" t="s">
        <v>369</v>
      </c>
      <c r="U2" s="207" t="s">
        <v>370</v>
      </c>
      <c r="V2" s="207" t="s">
        <v>371</v>
      </c>
      <c r="W2" s="207" t="s">
        <v>425</v>
      </c>
    </row>
    <row r="3" spans="1:27" s="194" customFormat="1" ht="50.25" customHeight="1">
      <c r="A3" s="214" t="s">
        <v>261</v>
      </c>
      <c r="B3" s="215" t="s">
        <v>324</v>
      </c>
      <c r="C3" s="215" t="s">
        <v>9</v>
      </c>
      <c r="D3" s="215" t="s">
        <v>325</v>
      </c>
      <c r="E3" s="215" t="s">
        <v>10</v>
      </c>
      <c r="F3" s="215" t="s">
        <v>11</v>
      </c>
      <c r="G3" s="210" t="s">
        <v>229</v>
      </c>
      <c r="H3" s="208" t="s">
        <v>230</v>
      </c>
      <c r="I3" s="208" t="s">
        <v>231</v>
      </c>
      <c r="J3" s="208" t="s">
        <v>372</v>
      </c>
      <c r="K3" s="208" t="s">
        <v>373</v>
      </c>
      <c r="L3" s="208" t="s">
        <v>374</v>
      </c>
      <c r="M3" s="208" t="s">
        <v>375</v>
      </c>
      <c r="N3" s="208" t="s">
        <v>376</v>
      </c>
      <c r="O3" s="208" t="s">
        <v>377</v>
      </c>
      <c r="P3" s="208" t="s">
        <v>378</v>
      </c>
      <c r="Q3" s="208" t="s">
        <v>379</v>
      </c>
      <c r="R3" s="208" t="s">
        <v>380</v>
      </c>
      <c r="S3" s="208" t="s">
        <v>381</v>
      </c>
      <c r="T3" s="208" t="s">
        <v>13</v>
      </c>
      <c r="U3" s="209" t="s">
        <v>382</v>
      </c>
      <c r="V3" s="209" t="s">
        <v>383</v>
      </c>
      <c r="W3" s="208" t="s">
        <v>384</v>
      </c>
    </row>
    <row r="4" spans="1:27" s="195" customFormat="1" ht="14.25" customHeight="1" outlineLevel="2">
      <c r="A4" s="199">
        <v>499</v>
      </c>
      <c r="B4" s="200" t="s">
        <v>26</v>
      </c>
      <c r="C4" s="200" t="s">
        <v>27</v>
      </c>
      <c r="D4" s="200" t="s">
        <v>28</v>
      </c>
      <c r="E4" s="200" t="s">
        <v>29</v>
      </c>
      <c r="F4" s="200" t="s">
        <v>30</v>
      </c>
      <c r="G4" s="203">
        <v>77001</v>
      </c>
      <c r="H4" s="203">
        <v>1282.5900000000001</v>
      </c>
      <c r="I4" s="203">
        <v>148.44999999999999</v>
      </c>
      <c r="J4" s="203">
        <v>17006.694100000001</v>
      </c>
      <c r="K4" s="203">
        <v>422.09010000000001</v>
      </c>
      <c r="L4" s="203">
        <v>389.9769</v>
      </c>
      <c r="M4" s="203">
        <v>7.9749999999999996</v>
      </c>
      <c r="N4" s="203">
        <v>98760712.590000004</v>
      </c>
      <c r="O4" s="203">
        <v>11430798.449999999</v>
      </c>
      <c r="P4" s="203">
        <v>41858.160000000003</v>
      </c>
      <c r="Q4" s="203">
        <v>11388940.289999999</v>
      </c>
      <c r="R4" s="203">
        <v>13307984.550000001</v>
      </c>
      <c r="S4" s="203">
        <v>142005895.74000001</v>
      </c>
      <c r="T4" s="203">
        <v>4052064.96</v>
      </c>
      <c r="U4" s="203">
        <v>3509792.1</v>
      </c>
      <c r="V4" s="203">
        <v>95700</v>
      </c>
      <c r="W4" s="203">
        <f t="shared" ref="W4:W20" si="0">N4+Q4+R4+S4+T4+U4+V4</f>
        <v>273121090.23000002</v>
      </c>
      <c r="X4" s="197"/>
      <c r="Y4" s="197"/>
      <c r="AA4" s="197"/>
    </row>
    <row r="5" spans="1:27" s="195" customFormat="1" ht="14.25" customHeight="1" outlineLevel="2">
      <c r="A5" s="199">
        <v>500</v>
      </c>
      <c r="B5" s="200" t="s">
        <v>26</v>
      </c>
      <c r="C5" s="200" t="s">
        <v>27</v>
      </c>
      <c r="D5" s="200" t="s">
        <v>28</v>
      </c>
      <c r="E5" s="200" t="s">
        <v>31</v>
      </c>
      <c r="F5" s="200" t="s">
        <v>32</v>
      </c>
      <c r="G5" s="203">
        <v>42139</v>
      </c>
      <c r="H5" s="203">
        <v>1282.5900000000001</v>
      </c>
      <c r="I5" s="203">
        <v>148.44999999999999</v>
      </c>
      <c r="J5" s="203">
        <v>1910.0536999999999</v>
      </c>
      <c r="K5" s="203">
        <v>44.394199999999998</v>
      </c>
      <c r="L5" s="203">
        <v>0</v>
      </c>
      <c r="M5" s="203">
        <v>0</v>
      </c>
      <c r="N5" s="203">
        <v>54047060.009999998</v>
      </c>
      <c r="O5" s="203">
        <v>6255534.5499999998</v>
      </c>
      <c r="P5" s="203">
        <v>22906.99</v>
      </c>
      <c r="Q5" s="203">
        <v>6232627.5599999996</v>
      </c>
      <c r="R5" s="203">
        <v>4720181.21</v>
      </c>
      <c r="S5" s="203">
        <v>15948948.4</v>
      </c>
      <c r="T5" s="203">
        <v>426184.32</v>
      </c>
      <c r="U5" s="203">
        <v>0</v>
      </c>
      <c r="V5" s="203">
        <v>0</v>
      </c>
      <c r="W5" s="203">
        <f t="shared" si="0"/>
        <v>81375001.5</v>
      </c>
      <c r="X5" s="197"/>
      <c r="Y5" s="197"/>
      <c r="AA5" s="197"/>
    </row>
    <row r="6" spans="1:27" s="195" customFormat="1" ht="14.25" customHeight="1" outlineLevel="2">
      <c r="A6" s="199">
        <v>501</v>
      </c>
      <c r="B6" s="200" t="s">
        <v>26</v>
      </c>
      <c r="C6" s="200" t="s">
        <v>27</v>
      </c>
      <c r="D6" s="200" t="s">
        <v>28</v>
      </c>
      <c r="E6" s="200" t="s">
        <v>33</v>
      </c>
      <c r="F6" s="200" t="s">
        <v>34</v>
      </c>
      <c r="G6" s="203">
        <v>49027</v>
      </c>
      <c r="H6" s="203">
        <v>1282.5900000000001</v>
      </c>
      <c r="I6" s="203">
        <v>148.44999999999999</v>
      </c>
      <c r="J6" s="203">
        <v>2365.1954999999998</v>
      </c>
      <c r="K6" s="203">
        <v>52.448999999999998</v>
      </c>
      <c r="L6" s="203">
        <v>0</v>
      </c>
      <c r="M6" s="203">
        <v>0</v>
      </c>
      <c r="N6" s="203">
        <v>62881539.93</v>
      </c>
      <c r="O6" s="203">
        <v>7278058.1500000004</v>
      </c>
      <c r="P6" s="203">
        <v>26651.34</v>
      </c>
      <c r="Q6" s="203">
        <v>7251406.8099999996</v>
      </c>
      <c r="R6" s="203">
        <v>6610288.3300000001</v>
      </c>
      <c r="S6" s="203">
        <v>19749382.43</v>
      </c>
      <c r="T6" s="203">
        <v>503510.4</v>
      </c>
      <c r="U6" s="203">
        <v>0</v>
      </c>
      <c r="V6" s="203">
        <v>0</v>
      </c>
      <c r="W6" s="203">
        <f t="shared" si="0"/>
        <v>96996127.900000006</v>
      </c>
      <c r="X6" s="197"/>
      <c r="Y6" s="197"/>
      <c r="AA6" s="197"/>
    </row>
    <row r="7" spans="1:27" s="195" customFormat="1" ht="14.25" customHeight="1" outlineLevel="2">
      <c r="A7" s="199">
        <v>502</v>
      </c>
      <c r="B7" s="200" t="s">
        <v>26</v>
      </c>
      <c r="C7" s="200" t="s">
        <v>27</v>
      </c>
      <c r="D7" s="200" t="s">
        <v>28</v>
      </c>
      <c r="E7" s="200" t="s">
        <v>35</v>
      </c>
      <c r="F7" s="200" t="s">
        <v>36</v>
      </c>
      <c r="G7" s="203">
        <v>53969</v>
      </c>
      <c r="H7" s="203">
        <v>1282.5900000000001</v>
      </c>
      <c r="I7" s="203">
        <v>148.44999999999999</v>
      </c>
      <c r="J7" s="203">
        <v>5188.9453999999996</v>
      </c>
      <c r="K7" s="203">
        <v>76.522400000000005</v>
      </c>
      <c r="L7" s="203">
        <v>3.7869999999999999</v>
      </c>
      <c r="M7" s="203">
        <v>0</v>
      </c>
      <c r="N7" s="203">
        <v>69220099.709999993</v>
      </c>
      <c r="O7" s="203">
        <v>8011698.0499999998</v>
      </c>
      <c r="P7" s="203">
        <v>29337.84</v>
      </c>
      <c r="Q7" s="203">
        <v>7982360.21</v>
      </c>
      <c r="R7" s="203">
        <v>4670689.1900000004</v>
      </c>
      <c r="S7" s="203">
        <v>43327694.090000004</v>
      </c>
      <c r="T7" s="203">
        <v>734615.04000000004</v>
      </c>
      <c r="U7" s="203">
        <v>34083</v>
      </c>
      <c r="V7" s="203">
        <v>0</v>
      </c>
      <c r="W7" s="203">
        <f t="shared" si="0"/>
        <v>125969541.23999999</v>
      </c>
      <c r="X7" s="197"/>
      <c r="Y7" s="197"/>
      <c r="AA7" s="197"/>
    </row>
    <row r="8" spans="1:27" s="195" customFormat="1" ht="14.25" customHeight="1" outlineLevel="2">
      <c r="A8" s="199">
        <v>503</v>
      </c>
      <c r="B8" s="200" t="s">
        <v>26</v>
      </c>
      <c r="C8" s="200" t="s">
        <v>27</v>
      </c>
      <c r="D8" s="200" t="s">
        <v>28</v>
      </c>
      <c r="E8" s="200" t="s">
        <v>37</v>
      </c>
      <c r="F8" s="200" t="s">
        <v>38</v>
      </c>
      <c r="G8" s="203">
        <v>31236</v>
      </c>
      <c r="H8" s="203">
        <v>1282.5900000000001</v>
      </c>
      <c r="I8" s="203">
        <v>148.44999999999999</v>
      </c>
      <c r="J8" s="203">
        <v>1959.0965000000001</v>
      </c>
      <c r="K8" s="203">
        <v>50.553899999999999</v>
      </c>
      <c r="L8" s="203">
        <v>0</v>
      </c>
      <c r="M8" s="203">
        <v>0</v>
      </c>
      <c r="N8" s="203">
        <v>40062981.240000002</v>
      </c>
      <c r="O8" s="203">
        <v>4636984.2</v>
      </c>
      <c r="P8" s="203">
        <v>16980.060000000001</v>
      </c>
      <c r="Q8" s="203">
        <v>4620004.1399999997</v>
      </c>
      <c r="R8" s="203">
        <v>3902153.4</v>
      </c>
      <c r="S8" s="203">
        <v>16358455.779999999</v>
      </c>
      <c r="T8" s="203">
        <v>485317.44</v>
      </c>
      <c r="U8" s="203">
        <v>0</v>
      </c>
      <c r="V8" s="203">
        <v>0</v>
      </c>
      <c r="W8" s="203">
        <f t="shared" si="0"/>
        <v>65428912</v>
      </c>
      <c r="X8" s="197"/>
      <c r="Y8" s="197"/>
      <c r="AA8" s="197"/>
    </row>
    <row r="9" spans="1:27" s="195" customFormat="1" ht="14.25" customHeight="1" outlineLevel="2">
      <c r="A9" s="199">
        <v>504</v>
      </c>
      <c r="B9" s="200" t="s">
        <v>26</v>
      </c>
      <c r="C9" s="200" t="s">
        <v>27</v>
      </c>
      <c r="D9" s="200" t="s">
        <v>28</v>
      </c>
      <c r="E9" s="200" t="s">
        <v>39</v>
      </c>
      <c r="F9" s="200" t="s">
        <v>40</v>
      </c>
      <c r="G9" s="203">
        <v>31262</v>
      </c>
      <c r="H9" s="203">
        <v>1282.5900000000001</v>
      </c>
      <c r="I9" s="203">
        <v>148.44999999999999</v>
      </c>
      <c r="J9" s="203">
        <v>2274.6538999999998</v>
      </c>
      <c r="K9" s="203">
        <v>49.365699999999997</v>
      </c>
      <c r="L9" s="203">
        <v>0</v>
      </c>
      <c r="M9" s="203">
        <v>0</v>
      </c>
      <c r="N9" s="203">
        <v>40096328.579999998</v>
      </c>
      <c r="O9" s="203">
        <v>4640843.9000000004</v>
      </c>
      <c r="P9" s="203">
        <v>16994.189999999999</v>
      </c>
      <c r="Q9" s="203">
        <v>4623849.71</v>
      </c>
      <c r="R9" s="203">
        <v>3601635.65</v>
      </c>
      <c r="S9" s="203">
        <v>18993360.07</v>
      </c>
      <c r="T9" s="203">
        <v>473910.72</v>
      </c>
      <c r="U9" s="203">
        <v>0</v>
      </c>
      <c r="V9" s="203">
        <v>0</v>
      </c>
      <c r="W9" s="203">
        <f t="shared" si="0"/>
        <v>67789084.729999989</v>
      </c>
      <c r="X9" s="197"/>
      <c r="Y9" s="197"/>
      <c r="AA9" s="197"/>
    </row>
    <row r="10" spans="1:27" s="195" customFormat="1" ht="14.25" customHeight="1" outlineLevel="2">
      <c r="A10" s="199">
        <v>505</v>
      </c>
      <c r="B10" s="200" t="s">
        <v>26</v>
      </c>
      <c r="C10" s="200" t="s">
        <v>27</v>
      </c>
      <c r="D10" s="200" t="s">
        <v>28</v>
      </c>
      <c r="E10" s="200" t="s">
        <v>41</v>
      </c>
      <c r="F10" s="200" t="s">
        <v>42</v>
      </c>
      <c r="G10" s="203">
        <v>32117</v>
      </c>
      <c r="H10" s="203">
        <v>1282.5900000000001</v>
      </c>
      <c r="I10" s="203">
        <v>148.44999999999999</v>
      </c>
      <c r="J10" s="203">
        <v>1504.6258</v>
      </c>
      <c r="K10" s="203">
        <v>23.980499999999999</v>
      </c>
      <c r="L10" s="203">
        <v>0</v>
      </c>
      <c r="M10" s="203">
        <v>0</v>
      </c>
      <c r="N10" s="203">
        <v>41192943.030000001</v>
      </c>
      <c r="O10" s="203">
        <v>4767768.6500000004</v>
      </c>
      <c r="P10" s="203">
        <v>17458.97</v>
      </c>
      <c r="Q10" s="203">
        <v>4750309.68</v>
      </c>
      <c r="R10" s="203">
        <v>4537493.9000000004</v>
      </c>
      <c r="S10" s="203">
        <v>12563625.43</v>
      </c>
      <c r="T10" s="203">
        <v>230212.8</v>
      </c>
      <c r="U10" s="203">
        <v>0</v>
      </c>
      <c r="V10" s="203">
        <v>0</v>
      </c>
      <c r="W10" s="203">
        <f t="shared" si="0"/>
        <v>63274584.839999996</v>
      </c>
      <c r="X10" s="197"/>
      <c r="Y10" s="197"/>
      <c r="AA10" s="197"/>
    </row>
    <row r="11" spans="1:27" s="195" customFormat="1" ht="14.25" customHeight="1" outlineLevel="2">
      <c r="A11" s="199">
        <v>506</v>
      </c>
      <c r="B11" s="200" t="s">
        <v>26</v>
      </c>
      <c r="C11" s="200" t="s">
        <v>27</v>
      </c>
      <c r="D11" s="200" t="s">
        <v>28</v>
      </c>
      <c r="E11" s="200" t="s">
        <v>43</v>
      </c>
      <c r="F11" s="200" t="s">
        <v>44</v>
      </c>
      <c r="G11" s="203">
        <v>11378</v>
      </c>
      <c r="H11" s="203">
        <v>1282.5900000000001</v>
      </c>
      <c r="I11" s="203">
        <v>148.44999999999999</v>
      </c>
      <c r="J11" s="203">
        <v>691.48199999999997</v>
      </c>
      <c r="K11" s="203">
        <v>14.2354</v>
      </c>
      <c r="L11" s="203">
        <v>0</v>
      </c>
      <c r="M11" s="203">
        <v>0</v>
      </c>
      <c r="N11" s="203">
        <v>14593309.02</v>
      </c>
      <c r="O11" s="203">
        <v>1689064.1</v>
      </c>
      <c r="P11" s="203">
        <v>6185.14</v>
      </c>
      <c r="Q11" s="203">
        <v>1682878.96</v>
      </c>
      <c r="R11" s="203">
        <v>1942327.51</v>
      </c>
      <c r="S11" s="203">
        <v>5773874.7000000002</v>
      </c>
      <c r="T11" s="203">
        <v>136659.84</v>
      </c>
      <c r="U11" s="203">
        <v>0</v>
      </c>
      <c r="V11" s="203">
        <v>0</v>
      </c>
      <c r="W11" s="203">
        <f t="shared" si="0"/>
        <v>24129050.030000001</v>
      </c>
      <c r="X11" s="197"/>
      <c r="Y11" s="197"/>
      <c r="AA11" s="197"/>
    </row>
    <row r="12" spans="1:27" s="195" customFormat="1" ht="14.25" customHeight="1" outlineLevel="1">
      <c r="A12" s="221"/>
      <c r="B12" s="222"/>
      <c r="C12" s="222"/>
      <c r="D12" s="223" t="s">
        <v>263</v>
      </c>
      <c r="E12" s="222"/>
      <c r="F12" s="222"/>
      <c r="G12" s="224">
        <f>SUBTOTAL(9,G4:G11)</f>
        <v>328129</v>
      </c>
      <c r="H12" s="224"/>
      <c r="I12" s="224"/>
      <c r="J12" s="224">
        <f t="shared" ref="J12:W12" si="1">SUBTOTAL(9,J4:J11)</f>
        <v>32900.746899999998</v>
      </c>
      <c r="K12" s="224">
        <f t="shared" si="1"/>
        <v>733.59119999999996</v>
      </c>
      <c r="L12" s="224">
        <f t="shared" si="1"/>
        <v>393.76389999999998</v>
      </c>
      <c r="M12" s="224">
        <f t="shared" si="1"/>
        <v>7.9749999999999996</v>
      </c>
      <c r="N12" s="224">
        <f t="shared" si="1"/>
        <v>420854974.11000001</v>
      </c>
      <c r="O12" s="224">
        <f t="shared" si="1"/>
        <v>48710750.049999997</v>
      </c>
      <c r="P12" s="224">
        <f t="shared" si="1"/>
        <v>178372.69000000003</v>
      </c>
      <c r="Q12" s="224">
        <f t="shared" si="1"/>
        <v>48532377.359999999</v>
      </c>
      <c r="R12" s="224">
        <f t="shared" si="1"/>
        <v>43292753.740000002</v>
      </c>
      <c r="S12" s="224">
        <f t="shared" si="1"/>
        <v>274721236.63999999</v>
      </c>
      <c r="T12" s="224">
        <f t="shared" si="1"/>
        <v>7042475.5200000005</v>
      </c>
      <c r="U12" s="224">
        <f t="shared" si="1"/>
        <v>3543875.1</v>
      </c>
      <c r="V12" s="224">
        <f t="shared" si="1"/>
        <v>95700</v>
      </c>
      <c r="W12" s="224">
        <f t="shared" si="1"/>
        <v>798083392.47000003</v>
      </c>
      <c r="X12" s="197"/>
      <c r="Y12" s="197"/>
      <c r="AA12" s="197"/>
    </row>
    <row r="13" spans="1:27" s="195" customFormat="1" ht="14.25" customHeight="1" outlineLevel="2">
      <c r="A13" s="199">
        <v>507</v>
      </c>
      <c r="B13" s="200" t="s">
        <v>26</v>
      </c>
      <c r="C13" s="200" t="s">
        <v>45</v>
      </c>
      <c r="D13" s="200" t="s">
        <v>46</v>
      </c>
      <c r="E13" s="200" t="s">
        <v>47</v>
      </c>
      <c r="F13" s="200" t="s">
        <v>48</v>
      </c>
      <c r="G13" s="203">
        <v>101244</v>
      </c>
      <c r="H13" s="203">
        <v>1345.0100000000002</v>
      </c>
      <c r="I13" s="203">
        <v>150.03</v>
      </c>
      <c r="J13" s="203">
        <v>22667</v>
      </c>
      <c r="K13" s="203">
        <v>595.24159999999995</v>
      </c>
      <c r="L13" s="203">
        <v>817.36379999999986</v>
      </c>
      <c r="M13" s="203">
        <v>35.215299999999999</v>
      </c>
      <c r="N13" s="203">
        <v>136174192.44</v>
      </c>
      <c r="O13" s="203">
        <v>15189637.32</v>
      </c>
      <c r="P13" s="203">
        <v>55036.78</v>
      </c>
      <c r="Q13" s="203">
        <v>15134600.539999999</v>
      </c>
      <c r="R13" s="203">
        <v>12360996.25</v>
      </c>
      <c r="S13" s="203">
        <v>189269450</v>
      </c>
      <c r="T13" s="203">
        <v>5714319.3600000003</v>
      </c>
      <c r="U13" s="203">
        <v>7356274.2000000002</v>
      </c>
      <c r="V13" s="203">
        <v>422583.6</v>
      </c>
      <c r="W13" s="203">
        <f t="shared" si="0"/>
        <v>366432416.39000005</v>
      </c>
      <c r="X13" s="197"/>
      <c r="Y13" s="197"/>
      <c r="AA13" s="197"/>
    </row>
    <row r="14" spans="1:27" s="195" customFormat="1" ht="14.25" customHeight="1" outlineLevel="2">
      <c r="A14" s="199">
        <v>508</v>
      </c>
      <c r="B14" s="200" t="s">
        <v>26</v>
      </c>
      <c r="C14" s="200" t="s">
        <v>45</v>
      </c>
      <c r="D14" s="200" t="s">
        <v>46</v>
      </c>
      <c r="E14" s="200" t="s">
        <v>49</v>
      </c>
      <c r="F14" s="200" t="s">
        <v>50</v>
      </c>
      <c r="G14" s="203">
        <v>69632</v>
      </c>
      <c r="H14" s="203">
        <v>1345.0100000000002</v>
      </c>
      <c r="I14" s="203">
        <v>150.03</v>
      </c>
      <c r="J14" s="203">
        <v>3318.1509999999998</v>
      </c>
      <c r="K14" s="203">
        <v>94.749399999999994</v>
      </c>
      <c r="L14" s="203">
        <v>0</v>
      </c>
      <c r="M14" s="203">
        <v>0</v>
      </c>
      <c r="N14" s="203">
        <v>93655736.319999993</v>
      </c>
      <c r="O14" s="203">
        <v>10446888.960000001</v>
      </c>
      <c r="P14" s="203">
        <v>37852.33</v>
      </c>
      <c r="Q14" s="203">
        <v>10409036.630000001</v>
      </c>
      <c r="R14" s="203">
        <v>11356169.189999999</v>
      </c>
      <c r="S14" s="203">
        <v>27706560.850000001</v>
      </c>
      <c r="T14" s="203">
        <v>909594.24</v>
      </c>
      <c r="U14" s="203">
        <v>0</v>
      </c>
      <c r="V14" s="203">
        <v>0</v>
      </c>
      <c r="W14" s="203">
        <f t="shared" si="0"/>
        <v>144037097.22999999</v>
      </c>
      <c r="X14" s="197"/>
      <c r="Y14" s="197"/>
      <c r="AA14" s="197"/>
    </row>
    <row r="15" spans="1:27" s="195" customFormat="1" ht="14.25" customHeight="1" outlineLevel="2">
      <c r="A15" s="199">
        <v>509</v>
      </c>
      <c r="B15" s="200" t="s">
        <v>26</v>
      </c>
      <c r="C15" s="200" t="s">
        <v>45</v>
      </c>
      <c r="D15" s="200" t="s">
        <v>46</v>
      </c>
      <c r="E15" s="200" t="s">
        <v>51</v>
      </c>
      <c r="F15" s="200" t="s">
        <v>52</v>
      </c>
      <c r="G15" s="203">
        <v>47426</v>
      </c>
      <c r="H15" s="203">
        <v>1345.0100000000002</v>
      </c>
      <c r="I15" s="203">
        <v>150.03</v>
      </c>
      <c r="J15" s="203">
        <v>1847.4011</v>
      </c>
      <c r="K15" s="203">
        <v>44.162300000000002</v>
      </c>
      <c r="L15" s="203">
        <v>0</v>
      </c>
      <c r="M15" s="203">
        <v>0</v>
      </c>
      <c r="N15" s="203">
        <v>63788444.259999998</v>
      </c>
      <c r="O15" s="203">
        <v>7115322.7800000003</v>
      </c>
      <c r="P15" s="203">
        <v>25781.03</v>
      </c>
      <c r="Q15" s="203">
        <v>7089541.75</v>
      </c>
      <c r="R15" s="203">
        <v>7824591.75</v>
      </c>
      <c r="S15" s="203">
        <v>15425799.189999999</v>
      </c>
      <c r="T15" s="203">
        <v>423958.08</v>
      </c>
      <c r="U15" s="203">
        <v>0</v>
      </c>
      <c r="V15" s="203">
        <v>0</v>
      </c>
      <c r="W15" s="203">
        <f t="shared" si="0"/>
        <v>94552335.029999986</v>
      </c>
      <c r="X15" s="197"/>
      <c r="Y15" s="197"/>
      <c r="AA15" s="197"/>
    </row>
    <row r="16" spans="1:27" s="195" customFormat="1" ht="14.25" customHeight="1" outlineLevel="2">
      <c r="A16" s="199">
        <v>510</v>
      </c>
      <c r="B16" s="200" t="s">
        <v>26</v>
      </c>
      <c r="C16" s="200" t="s">
        <v>45</v>
      </c>
      <c r="D16" s="200" t="s">
        <v>46</v>
      </c>
      <c r="E16" s="200" t="s">
        <v>53</v>
      </c>
      <c r="F16" s="200" t="s">
        <v>54</v>
      </c>
      <c r="G16" s="203">
        <v>82479</v>
      </c>
      <c r="H16" s="203">
        <v>1345.0100000000002</v>
      </c>
      <c r="I16" s="203">
        <v>150.03</v>
      </c>
      <c r="J16" s="203">
        <v>4798.1688999999997</v>
      </c>
      <c r="K16" s="203">
        <v>221.82910000000001</v>
      </c>
      <c r="L16" s="203">
        <v>0</v>
      </c>
      <c r="M16" s="203">
        <v>0</v>
      </c>
      <c r="N16" s="203">
        <v>110935079.79000001</v>
      </c>
      <c r="O16" s="203">
        <v>12374324.369999999</v>
      </c>
      <c r="P16" s="203">
        <v>44836.03</v>
      </c>
      <c r="Q16" s="203">
        <v>12329488.34</v>
      </c>
      <c r="R16" s="203">
        <v>11856843.550000001</v>
      </c>
      <c r="S16" s="203">
        <v>40064710.32</v>
      </c>
      <c r="T16" s="203">
        <v>2129559.36</v>
      </c>
      <c r="U16" s="203">
        <v>0</v>
      </c>
      <c r="V16" s="203">
        <v>0</v>
      </c>
      <c r="W16" s="203">
        <f t="shared" si="0"/>
        <v>177315681.36000001</v>
      </c>
      <c r="X16" s="197"/>
      <c r="Y16" s="197"/>
      <c r="AA16" s="197"/>
    </row>
    <row r="17" spans="1:27" s="195" customFormat="1" ht="14.25" customHeight="1" outlineLevel="2">
      <c r="A17" s="199">
        <v>511</v>
      </c>
      <c r="B17" s="200" t="s">
        <v>26</v>
      </c>
      <c r="C17" s="200" t="s">
        <v>45</v>
      </c>
      <c r="D17" s="200" t="s">
        <v>46</v>
      </c>
      <c r="E17" s="200" t="s">
        <v>55</v>
      </c>
      <c r="F17" s="200" t="s">
        <v>56</v>
      </c>
      <c r="G17" s="203">
        <v>53723</v>
      </c>
      <c r="H17" s="203">
        <v>1345.0100000000002</v>
      </c>
      <c r="I17" s="203">
        <v>150.03</v>
      </c>
      <c r="J17" s="203">
        <v>2332.6136000000001</v>
      </c>
      <c r="K17" s="203">
        <v>53.698</v>
      </c>
      <c r="L17" s="203">
        <v>0</v>
      </c>
      <c r="M17" s="203">
        <v>0</v>
      </c>
      <c r="N17" s="203">
        <v>72257972.230000004</v>
      </c>
      <c r="O17" s="203">
        <v>8060061.6900000004</v>
      </c>
      <c r="P17" s="203">
        <v>29204.11</v>
      </c>
      <c r="Q17" s="203">
        <v>8030857.5800000001</v>
      </c>
      <c r="R17" s="203">
        <v>7493127.7400000002</v>
      </c>
      <c r="S17" s="203">
        <v>19477323.559999999</v>
      </c>
      <c r="T17" s="203">
        <v>515500.79999999999</v>
      </c>
      <c r="U17" s="203">
        <v>0</v>
      </c>
      <c r="V17" s="203">
        <v>0</v>
      </c>
      <c r="W17" s="203">
        <f t="shared" si="0"/>
        <v>107774781.91</v>
      </c>
      <c r="X17" s="197"/>
      <c r="Y17" s="197"/>
      <c r="AA17" s="197"/>
    </row>
    <row r="18" spans="1:27" s="195" customFormat="1" ht="14.25" customHeight="1" outlineLevel="2">
      <c r="A18" s="199">
        <v>512</v>
      </c>
      <c r="B18" s="200" t="s">
        <v>26</v>
      </c>
      <c r="C18" s="200" t="s">
        <v>45</v>
      </c>
      <c r="D18" s="200" t="s">
        <v>46</v>
      </c>
      <c r="E18" s="200" t="s">
        <v>57</v>
      </c>
      <c r="F18" s="200" t="s">
        <v>58</v>
      </c>
      <c r="G18" s="203">
        <v>28992</v>
      </c>
      <c r="H18" s="203">
        <v>1345.0100000000002</v>
      </c>
      <c r="I18" s="203">
        <v>150.03</v>
      </c>
      <c r="J18" s="203">
        <v>1602.3444</v>
      </c>
      <c r="K18" s="203">
        <v>22.819800000000001</v>
      </c>
      <c r="L18" s="203">
        <v>0</v>
      </c>
      <c r="M18" s="203">
        <v>0</v>
      </c>
      <c r="N18" s="203">
        <v>38994529.920000002</v>
      </c>
      <c r="O18" s="203">
        <v>4349669.76</v>
      </c>
      <c r="P18" s="203">
        <v>15760.21</v>
      </c>
      <c r="Q18" s="203">
        <v>4333909.55</v>
      </c>
      <c r="R18" s="203">
        <v>4175882.11</v>
      </c>
      <c r="S18" s="203">
        <v>13379575.74</v>
      </c>
      <c r="T18" s="203">
        <v>219070.07999999999</v>
      </c>
      <c r="U18" s="203">
        <v>0</v>
      </c>
      <c r="V18" s="203">
        <v>0</v>
      </c>
      <c r="W18" s="203">
        <f t="shared" si="0"/>
        <v>61102967.399999999</v>
      </c>
      <c r="X18" s="197"/>
      <c r="Y18" s="197"/>
      <c r="AA18" s="197"/>
    </row>
    <row r="19" spans="1:27" s="195" customFormat="1" ht="14.25" customHeight="1" outlineLevel="1">
      <c r="A19" s="221"/>
      <c r="B19" s="222"/>
      <c r="C19" s="222"/>
      <c r="D19" s="223" t="s">
        <v>264</v>
      </c>
      <c r="E19" s="222"/>
      <c r="F19" s="222"/>
      <c r="G19" s="224">
        <f>SUBTOTAL(9,G13:G18)</f>
        <v>383496</v>
      </c>
      <c r="H19" s="224"/>
      <c r="I19" s="224"/>
      <c r="J19" s="224">
        <f t="shared" ref="J19:W19" si="2">SUBTOTAL(9,J13:J18)</f>
        <v>36565.678999999996</v>
      </c>
      <c r="K19" s="224">
        <f t="shared" si="2"/>
        <v>1032.5001999999999</v>
      </c>
      <c r="L19" s="224">
        <f t="shared" si="2"/>
        <v>817.36379999999986</v>
      </c>
      <c r="M19" s="224">
        <f t="shared" si="2"/>
        <v>35.215299999999999</v>
      </c>
      <c r="N19" s="224">
        <f t="shared" si="2"/>
        <v>515805954.96000004</v>
      </c>
      <c r="O19" s="224">
        <f t="shared" si="2"/>
        <v>57535904.879999995</v>
      </c>
      <c r="P19" s="224">
        <f t="shared" si="2"/>
        <v>208470.48999999996</v>
      </c>
      <c r="Q19" s="224">
        <f t="shared" si="2"/>
        <v>57327434.390000001</v>
      </c>
      <c r="R19" s="224">
        <f t="shared" si="2"/>
        <v>55067610.589999996</v>
      </c>
      <c r="S19" s="224">
        <f t="shared" si="2"/>
        <v>305323419.66000003</v>
      </c>
      <c r="T19" s="224">
        <f t="shared" si="2"/>
        <v>9912001.9200000018</v>
      </c>
      <c r="U19" s="224">
        <f t="shared" si="2"/>
        <v>7356274.2000000002</v>
      </c>
      <c r="V19" s="224">
        <f t="shared" si="2"/>
        <v>422583.6</v>
      </c>
      <c r="W19" s="224">
        <f t="shared" si="2"/>
        <v>951215279.31999993</v>
      </c>
      <c r="X19" s="197"/>
      <c r="Y19" s="197"/>
      <c r="AA19" s="197"/>
    </row>
    <row r="20" spans="1:27" s="195" customFormat="1" ht="14.25" customHeight="1" outlineLevel="2">
      <c r="A20" s="199">
        <v>513</v>
      </c>
      <c r="B20" s="200" t="s">
        <v>26</v>
      </c>
      <c r="C20" s="200" t="s">
        <v>59</v>
      </c>
      <c r="D20" s="200" t="s">
        <v>60</v>
      </c>
      <c r="E20" s="200" t="s">
        <v>61</v>
      </c>
      <c r="F20" s="200" t="s">
        <v>62</v>
      </c>
      <c r="G20" s="203">
        <v>259303</v>
      </c>
      <c r="H20" s="203">
        <v>1327.29</v>
      </c>
      <c r="I20" s="203">
        <v>150.06</v>
      </c>
      <c r="J20" s="203">
        <v>118240.8075</v>
      </c>
      <c r="K20" s="203">
        <v>2770.3712999999998</v>
      </c>
      <c r="L20" s="203">
        <v>2617.2200999999991</v>
      </c>
      <c r="M20" s="203">
        <v>397.06099999999992</v>
      </c>
      <c r="N20" s="203">
        <v>344170278.87</v>
      </c>
      <c r="O20" s="203">
        <v>38911008.18</v>
      </c>
      <c r="P20" s="203">
        <v>140958.51</v>
      </c>
      <c r="Q20" s="203">
        <v>38770049.670000002</v>
      </c>
      <c r="R20" s="203">
        <v>26443079.989999998</v>
      </c>
      <c r="S20" s="203">
        <v>987310742.63</v>
      </c>
      <c r="T20" s="203">
        <v>26595564.48</v>
      </c>
      <c r="U20" s="203">
        <v>23554980.899999999</v>
      </c>
      <c r="V20" s="203">
        <v>4764732</v>
      </c>
      <c r="W20" s="203">
        <f t="shared" si="0"/>
        <v>1451609428.5400002</v>
      </c>
      <c r="X20" s="197"/>
      <c r="Y20" s="197"/>
      <c r="AA20" s="197"/>
    </row>
    <row r="21" spans="1:27" s="195" customFormat="1" ht="14.25" customHeight="1" outlineLevel="2">
      <c r="A21" s="199">
        <v>514</v>
      </c>
      <c r="B21" s="200" t="s">
        <v>26</v>
      </c>
      <c r="C21" s="200" t="s">
        <v>59</v>
      </c>
      <c r="D21" s="200" t="s">
        <v>60</v>
      </c>
      <c r="E21" s="200" t="s">
        <v>63</v>
      </c>
      <c r="F21" s="200" t="s">
        <v>64</v>
      </c>
      <c r="G21" s="203">
        <v>51596</v>
      </c>
      <c r="H21" s="203">
        <v>1327.29</v>
      </c>
      <c r="I21" s="203">
        <v>150.06</v>
      </c>
      <c r="J21" s="203">
        <v>2591.1801999999998</v>
      </c>
      <c r="K21" s="203">
        <v>36.265500000000003</v>
      </c>
      <c r="L21" s="203">
        <v>0</v>
      </c>
      <c r="M21" s="203">
        <v>0</v>
      </c>
      <c r="N21" s="203">
        <v>68482854.840000004</v>
      </c>
      <c r="O21" s="203">
        <v>7742495.7599999998</v>
      </c>
      <c r="P21" s="203">
        <v>28047.86</v>
      </c>
      <c r="Q21" s="203">
        <v>7714447.9000000004</v>
      </c>
      <c r="R21" s="203">
        <v>6373725.5199999996</v>
      </c>
      <c r="S21" s="203">
        <v>21636354.670000002</v>
      </c>
      <c r="T21" s="203">
        <v>348148.8</v>
      </c>
      <c r="U21" s="203">
        <v>0</v>
      </c>
      <c r="V21" s="203">
        <v>0</v>
      </c>
      <c r="W21" s="203">
        <f t="shared" ref="W21:W88" si="3">N21+Q21+R21+S21+T21+U21+V21</f>
        <v>104555531.73</v>
      </c>
      <c r="X21" s="197"/>
      <c r="Y21" s="197"/>
      <c r="AA21" s="197"/>
    </row>
    <row r="22" spans="1:27" s="195" customFormat="1" ht="14.25" customHeight="1" outlineLevel="2">
      <c r="A22" s="199">
        <v>515</v>
      </c>
      <c r="B22" s="200" t="s">
        <v>26</v>
      </c>
      <c r="C22" s="200" t="s">
        <v>59</v>
      </c>
      <c r="D22" s="200" t="s">
        <v>60</v>
      </c>
      <c r="E22" s="200" t="s">
        <v>65</v>
      </c>
      <c r="F22" s="200" t="s">
        <v>66</v>
      </c>
      <c r="G22" s="203">
        <v>49836</v>
      </c>
      <c r="H22" s="203">
        <v>1327.29</v>
      </c>
      <c r="I22" s="203">
        <v>150.06</v>
      </c>
      <c r="J22" s="203">
        <v>2295.5652</v>
      </c>
      <c r="K22" s="203">
        <v>47.308300000000003</v>
      </c>
      <c r="L22" s="203">
        <v>0</v>
      </c>
      <c r="M22" s="203">
        <v>0</v>
      </c>
      <c r="N22" s="203">
        <v>66146824.439999998</v>
      </c>
      <c r="O22" s="203">
        <v>7478390.1600000001</v>
      </c>
      <c r="P22" s="203">
        <v>27091.119999999999</v>
      </c>
      <c r="Q22" s="203">
        <v>7451299.04</v>
      </c>
      <c r="R22" s="203">
        <v>3224419.8</v>
      </c>
      <c r="S22" s="203">
        <v>19167969.420000002</v>
      </c>
      <c r="T22" s="203">
        <v>454159.68</v>
      </c>
      <c r="U22" s="203">
        <v>0</v>
      </c>
      <c r="V22" s="203">
        <v>0</v>
      </c>
      <c r="W22" s="203">
        <f t="shared" si="3"/>
        <v>96444672.38000001</v>
      </c>
      <c r="X22" s="197"/>
      <c r="Y22" s="197"/>
      <c r="AA22" s="197"/>
    </row>
    <row r="23" spans="1:27" s="195" customFormat="1" ht="14.25" customHeight="1" outlineLevel="2">
      <c r="A23" s="199">
        <v>516</v>
      </c>
      <c r="B23" s="200" t="s">
        <v>26</v>
      </c>
      <c r="C23" s="200" t="s">
        <v>59</v>
      </c>
      <c r="D23" s="200" t="s">
        <v>60</v>
      </c>
      <c r="E23" s="200" t="s">
        <v>67</v>
      </c>
      <c r="F23" s="200" t="s">
        <v>68</v>
      </c>
      <c r="G23" s="203">
        <v>84429</v>
      </c>
      <c r="H23" s="203">
        <v>1327.29</v>
      </c>
      <c r="I23" s="203">
        <v>150.06</v>
      </c>
      <c r="J23" s="203">
        <v>13595.438</v>
      </c>
      <c r="K23" s="203">
        <v>381.3956</v>
      </c>
      <c r="L23" s="203">
        <v>18.091799999999999</v>
      </c>
      <c r="M23" s="203">
        <v>0</v>
      </c>
      <c r="N23" s="203">
        <v>112061767.41</v>
      </c>
      <c r="O23" s="203">
        <v>12669415.74</v>
      </c>
      <c r="P23" s="203">
        <v>45896.06</v>
      </c>
      <c r="Q23" s="203">
        <v>12623519.68</v>
      </c>
      <c r="R23" s="203">
        <v>9917687.2799999993</v>
      </c>
      <c r="S23" s="203">
        <v>113521907.3</v>
      </c>
      <c r="T23" s="203">
        <v>3661397.76</v>
      </c>
      <c r="U23" s="203">
        <v>162826.20000000001</v>
      </c>
      <c r="V23" s="203">
        <v>0</v>
      </c>
      <c r="W23" s="203">
        <f t="shared" si="3"/>
        <v>251949105.63</v>
      </c>
      <c r="X23" s="197"/>
      <c r="Y23" s="197"/>
      <c r="AA23" s="197"/>
    </row>
    <row r="24" spans="1:27" s="195" customFormat="1" ht="14.25" customHeight="1" outlineLevel="2">
      <c r="A24" s="199">
        <v>517</v>
      </c>
      <c r="B24" s="200" t="s">
        <v>26</v>
      </c>
      <c r="C24" s="200" t="s">
        <v>59</v>
      </c>
      <c r="D24" s="200" t="s">
        <v>60</v>
      </c>
      <c r="E24" s="200" t="s">
        <v>69</v>
      </c>
      <c r="F24" s="200" t="s">
        <v>70</v>
      </c>
      <c r="G24" s="203">
        <v>4065</v>
      </c>
      <c r="H24" s="203">
        <v>1327.29</v>
      </c>
      <c r="I24" s="203">
        <v>150.06</v>
      </c>
      <c r="J24" s="203">
        <v>0</v>
      </c>
      <c r="K24" s="203">
        <v>0</v>
      </c>
      <c r="L24" s="203">
        <v>0</v>
      </c>
      <c r="M24" s="203">
        <v>0</v>
      </c>
      <c r="N24" s="203">
        <v>5395433.8499999996</v>
      </c>
      <c r="O24" s="203">
        <v>609993.9</v>
      </c>
      <c r="P24" s="203">
        <v>2209.7600000000002</v>
      </c>
      <c r="Q24" s="203">
        <v>607784.14</v>
      </c>
      <c r="R24" s="203">
        <v>754958.61</v>
      </c>
      <c r="S24" s="203">
        <v>0</v>
      </c>
      <c r="T24" s="203">
        <v>0</v>
      </c>
      <c r="U24" s="203">
        <v>0</v>
      </c>
      <c r="V24" s="203">
        <v>0</v>
      </c>
      <c r="W24" s="203">
        <f t="shared" si="3"/>
        <v>6758176.5999999996</v>
      </c>
      <c r="X24" s="197"/>
      <c r="Y24" s="197"/>
      <c r="AA24" s="197"/>
    </row>
    <row r="25" spans="1:27" s="195" customFormat="1" ht="14.25" customHeight="1" outlineLevel="2">
      <c r="A25" s="199">
        <v>518</v>
      </c>
      <c r="B25" s="200" t="s">
        <v>26</v>
      </c>
      <c r="C25" s="200" t="s">
        <v>59</v>
      </c>
      <c r="D25" s="200" t="s">
        <v>60</v>
      </c>
      <c r="E25" s="200" t="s">
        <v>71</v>
      </c>
      <c r="F25" s="200" t="s">
        <v>72</v>
      </c>
      <c r="G25" s="203">
        <v>36898</v>
      </c>
      <c r="H25" s="203">
        <v>1327.29</v>
      </c>
      <c r="I25" s="203">
        <v>150.06</v>
      </c>
      <c r="J25" s="203">
        <v>2169.4890999999998</v>
      </c>
      <c r="K25" s="203">
        <v>34.862499999999997</v>
      </c>
      <c r="L25" s="203">
        <v>6.1119000000000003</v>
      </c>
      <c r="M25" s="203">
        <v>0</v>
      </c>
      <c r="N25" s="203">
        <v>48974346.420000002</v>
      </c>
      <c r="O25" s="203">
        <v>5536913.8799999999</v>
      </c>
      <c r="P25" s="203">
        <v>20057.95</v>
      </c>
      <c r="Q25" s="203">
        <v>5516855.9299999997</v>
      </c>
      <c r="R25" s="203">
        <v>6502679.5499999998</v>
      </c>
      <c r="S25" s="203">
        <v>18115233.989999998</v>
      </c>
      <c r="T25" s="203">
        <v>334680</v>
      </c>
      <c r="U25" s="203">
        <v>55007.1</v>
      </c>
      <c r="V25" s="203">
        <v>0</v>
      </c>
      <c r="W25" s="203">
        <f t="shared" si="3"/>
        <v>79498802.989999995</v>
      </c>
      <c r="X25" s="197"/>
      <c r="Y25" s="197"/>
      <c r="AA25" s="197"/>
    </row>
    <row r="26" spans="1:27" s="195" customFormat="1" ht="14.25" customHeight="1" outlineLevel="2">
      <c r="A26" s="199">
        <v>519</v>
      </c>
      <c r="B26" s="200" t="s">
        <v>26</v>
      </c>
      <c r="C26" s="200" t="s">
        <v>59</v>
      </c>
      <c r="D26" s="200" t="s">
        <v>60</v>
      </c>
      <c r="E26" s="200" t="s">
        <v>73</v>
      </c>
      <c r="F26" s="200" t="s">
        <v>74</v>
      </c>
      <c r="G26" s="203">
        <v>91589</v>
      </c>
      <c r="H26" s="203">
        <v>1327.29</v>
      </c>
      <c r="I26" s="203">
        <v>150.06</v>
      </c>
      <c r="J26" s="203">
        <v>6241.1603999999998</v>
      </c>
      <c r="K26" s="203">
        <v>88.013599999999997</v>
      </c>
      <c r="L26" s="203">
        <v>8.5539000000000005</v>
      </c>
      <c r="M26" s="203">
        <v>0</v>
      </c>
      <c r="N26" s="203">
        <v>121565163.81</v>
      </c>
      <c r="O26" s="203">
        <v>13743845.34</v>
      </c>
      <c r="P26" s="203">
        <v>49788.27</v>
      </c>
      <c r="Q26" s="203">
        <v>13694057.07</v>
      </c>
      <c r="R26" s="203">
        <v>10582247.789999999</v>
      </c>
      <c r="S26" s="203">
        <v>52113689.340000004</v>
      </c>
      <c r="T26" s="203">
        <v>844930.56000000006</v>
      </c>
      <c r="U26" s="203">
        <v>76985.100000000006</v>
      </c>
      <c r="V26" s="203">
        <v>0</v>
      </c>
      <c r="W26" s="203">
        <f t="shared" si="3"/>
        <v>198877073.66999999</v>
      </c>
      <c r="X26" s="197"/>
      <c r="Y26" s="197"/>
      <c r="AA26" s="197"/>
    </row>
    <row r="27" spans="1:27" s="195" customFormat="1" ht="14.25" customHeight="1" outlineLevel="2">
      <c r="A27" s="199">
        <v>520</v>
      </c>
      <c r="B27" s="200" t="s">
        <v>26</v>
      </c>
      <c r="C27" s="200" t="s">
        <v>59</v>
      </c>
      <c r="D27" s="200" t="s">
        <v>60</v>
      </c>
      <c r="E27" s="200" t="s">
        <v>75</v>
      </c>
      <c r="F27" s="200" t="s">
        <v>76</v>
      </c>
      <c r="G27" s="203">
        <v>25183</v>
      </c>
      <c r="H27" s="203">
        <v>1327.29</v>
      </c>
      <c r="I27" s="203">
        <v>150.06</v>
      </c>
      <c r="J27" s="203">
        <v>1172.5636</v>
      </c>
      <c r="K27" s="203">
        <v>12.6966</v>
      </c>
      <c r="L27" s="203">
        <v>0</v>
      </c>
      <c r="M27" s="203">
        <v>0</v>
      </c>
      <c r="N27" s="203">
        <v>33425144.07</v>
      </c>
      <c r="O27" s="203">
        <v>3778960.98</v>
      </c>
      <c r="P27" s="203">
        <v>13689.61</v>
      </c>
      <c r="Q27" s="203">
        <v>3765271.37</v>
      </c>
      <c r="R27" s="203">
        <v>3847253.14</v>
      </c>
      <c r="S27" s="203">
        <v>9790906.0600000005</v>
      </c>
      <c r="T27" s="203">
        <v>121887.36</v>
      </c>
      <c r="U27" s="203">
        <v>0</v>
      </c>
      <c r="V27" s="203">
        <v>0</v>
      </c>
      <c r="W27" s="203">
        <f t="shared" si="3"/>
        <v>50950462</v>
      </c>
      <c r="X27" s="197"/>
      <c r="Y27" s="197"/>
      <c r="AA27" s="197"/>
    </row>
    <row r="28" spans="1:27" s="195" customFormat="1" ht="14.25" customHeight="1" outlineLevel="2">
      <c r="A28" s="199">
        <v>521</v>
      </c>
      <c r="B28" s="200" t="s">
        <v>26</v>
      </c>
      <c r="C28" s="200" t="s">
        <v>59</v>
      </c>
      <c r="D28" s="200" t="s">
        <v>60</v>
      </c>
      <c r="E28" s="200" t="s">
        <v>77</v>
      </c>
      <c r="F28" s="200" t="s">
        <v>78</v>
      </c>
      <c r="G28" s="203">
        <v>29962</v>
      </c>
      <c r="H28" s="203">
        <v>1327.29</v>
      </c>
      <c r="I28" s="203">
        <v>150.06</v>
      </c>
      <c r="J28" s="203">
        <v>1118.5631000000001</v>
      </c>
      <c r="K28" s="203">
        <v>20.002199999999998</v>
      </c>
      <c r="L28" s="203">
        <v>0</v>
      </c>
      <c r="M28" s="203">
        <v>0</v>
      </c>
      <c r="N28" s="203">
        <v>39768262.979999997</v>
      </c>
      <c r="O28" s="203">
        <v>4496097.72</v>
      </c>
      <c r="P28" s="203">
        <v>16287.5</v>
      </c>
      <c r="Q28" s="203">
        <v>4479810.22</v>
      </c>
      <c r="R28" s="203">
        <v>3593233.96</v>
      </c>
      <c r="S28" s="203">
        <v>9340001.8900000006</v>
      </c>
      <c r="T28" s="203">
        <v>192021.12</v>
      </c>
      <c r="U28" s="203">
        <v>0</v>
      </c>
      <c r="V28" s="203">
        <v>0</v>
      </c>
      <c r="W28" s="203">
        <f t="shared" si="3"/>
        <v>57373330.169999994</v>
      </c>
      <c r="X28" s="197"/>
      <c r="Y28" s="197"/>
      <c r="AA28" s="197"/>
    </row>
    <row r="29" spans="1:27" s="195" customFormat="1" ht="14.25" customHeight="1" outlineLevel="2">
      <c r="A29" s="199">
        <v>522</v>
      </c>
      <c r="B29" s="200" t="s">
        <v>26</v>
      </c>
      <c r="C29" s="200" t="s">
        <v>59</v>
      </c>
      <c r="D29" s="200" t="s">
        <v>60</v>
      </c>
      <c r="E29" s="200" t="s">
        <v>79</v>
      </c>
      <c r="F29" s="200" t="s">
        <v>80</v>
      </c>
      <c r="G29" s="203">
        <v>36732</v>
      </c>
      <c r="H29" s="203">
        <v>1327.29</v>
      </c>
      <c r="I29" s="203">
        <v>150.06</v>
      </c>
      <c r="J29" s="203">
        <v>1688.8957</v>
      </c>
      <c r="K29" s="203">
        <v>27.6968</v>
      </c>
      <c r="L29" s="203">
        <v>0</v>
      </c>
      <c r="M29" s="203">
        <v>0</v>
      </c>
      <c r="N29" s="203">
        <v>48754016.280000001</v>
      </c>
      <c r="O29" s="203">
        <v>5512003.9199999999</v>
      </c>
      <c r="P29" s="203">
        <v>19967.71</v>
      </c>
      <c r="Q29" s="203">
        <v>5492036.21</v>
      </c>
      <c r="R29" s="203">
        <v>6127713.6399999997</v>
      </c>
      <c r="S29" s="203">
        <v>14102279.1</v>
      </c>
      <c r="T29" s="203">
        <v>265889.28000000003</v>
      </c>
      <c r="U29" s="203">
        <v>0</v>
      </c>
      <c r="V29" s="203">
        <v>0</v>
      </c>
      <c r="W29" s="203">
        <f t="shared" si="3"/>
        <v>74741934.510000005</v>
      </c>
      <c r="X29" s="197"/>
      <c r="Y29" s="197"/>
      <c r="AA29" s="197"/>
    </row>
    <row r="30" spans="1:27" s="195" customFormat="1" ht="14.25" customHeight="1" outlineLevel="2">
      <c r="A30" s="199">
        <v>523</v>
      </c>
      <c r="B30" s="200" t="s">
        <v>26</v>
      </c>
      <c r="C30" s="200" t="s">
        <v>59</v>
      </c>
      <c r="D30" s="200" t="s">
        <v>60</v>
      </c>
      <c r="E30" s="200" t="s">
        <v>81</v>
      </c>
      <c r="F30" s="200" t="s">
        <v>82</v>
      </c>
      <c r="G30" s="203">
        <v>43658</v>
      </c>
      <c r="H30" s="203">
        <v>1327.29</v>
      </c>
      <c r="I30" s="203">
        <v>150.06</v>
      </c>
      <c r="J30" s="203">
        <v>2450.2330999999999</v>
      </c>
      <c r="K30" s="203">
        <v>56.857900000000001</v>
      </c>
      <c r="L30" s="203">
        <v>0</v>
      </c>
      <c r="M30" s="203">
        <v>0</v>
      </c>
      <c r="N30" s="203">
        <v>57946826.82</v>
      </c>
      <c r="O30" s="203">
        <v>6551319.4800000004</v>
      </c>
      <c r="P30" s="203">
        <v>23732.720000000001</v>
      </c>
      <c r="Q30" s="203">
        <v>6527586.7599999998</v>
      </c>
      <c r="R30" s="203">
        <v>6811796.1799999997</v>
      </c>
      <c r="S30" s="203">
        <v>20459446.390000001</v>
      </c>
      <c r="T30" s="203">
        <v>545835.84</v>
      </c>
      <c r="U30" s="203">
        <v>0</v>
      </c>
      <c r="V30" s="203">
        <v>0</v>
      </c>
      <c r="W30" s="203">
        <f t="shared" si="3"/>
        <v>92291491.989999995</v>
      </c>
      <c r="X30" s="197"/>
      <c r="Y30" s="197"/>
      <c r="AA30" s="197"/>
    </row>
    <row r="31" spans="1:27" s="195" customFormat="1" ht="14.25" customHeight="1" outlineLevel="2">
      <c r="A31" s="199">
        <v>524</v>
      </c>
      <c r="B31" s="200" t="s">
        <v>26</v>
      </c>
      <c r="C31" s="200" t="s">
        <v>59</v>
      </c>
      <c r="D31" s="200" t="s">
        <v>60</v>
      </c>
      <c r="E31" s="200" t="s">
        <v>83</v>
      </c>
      <c r="F31" s="200" t="s">
        <v>84</v>
      </c>
      <c r="G31" s="203">
        <v>87100</v>
      </c>
      <c r="H31" s="203">
        <v>1327.29</v>
      </c>
      <c r="I31" s="203">
        <v>150.06</v>
      </c>
      <c r="J31" s="203">
        <v>6250.7851000000001</v>
      </c>
      <c r="K31" s="203">
        <v>106.669</v>
      </c>
      <c r="L31" s="203">
        <v>0</v>
      </c>
      <c r="M31" s="203">
        <v>0</v>
      </c>
      <c r="N31" s="203">
        <v>115606959</v>
      </c>
      <c r="O31" s="203">
        <v>13070226</v>
      </c>
      <c r="P31" s="203">
        <v>47348.03</v>
      </c>
      <c r="Q31" s="203">
        <v>13022877.970000001</v>
      </c>
      <c r="R31" s="203">
        <v>10727743.35</v>
      </c>
      <c r="S31" s="203">
        <v>52194055.590000004</v>
      </c>
      <c r="T31" s="203">
        <v>1024022.4</v>
      </c>
      <c r="U31" s="203">
        <v>0</v>
      </c>
      <c r="V31" s="203">
        <v>0</v>
      </c>
      <c r="W31" s="203">
        <f t="shared" si="3"/>
        <v>192575658.31</v>
      </c>
      <c r="X31" s="197"/>
      <c r="Y31" s="197"/>
      <c r="AA31" s="197"/>
    </row>
    <row r="32" spans="1:27" s="195" customFormat="1" ht="14.25" customHeight="1" outlineLevel="2">
      <c r="A32" s="199">
        <v>525</v>
      </c>
      <c r="B32" s="200" t="s">
        <v>26</v>
      </c>
      <c r="C32" s="200" t="s">
        <v>59</v>
      </c>
      <c r="D32" s="200" t="s">
        <v>60</v>
      </c>
      <c r="E32" s="200" t="s">
        <v>85</v>
      </c>
      <c r="F32" s="200" t="s">
        <v>86</v>
      </c>
      <c r="G32" s="203">
        <v>46913</v>
      </c>
      <c r="H32" s="203">
        <v>1327.29</v>
      </c>
      <c r="I32" s="203">
        <v>150.06</v>
      </c>
      <c r="J32" s="203">
        <v>2908.6091000000001</v>
      </c>
      <c r="K32" s="203">
        <v>61.230200000000004</v>
      </c>
      <c r="L32" s="203">
        <v>0</v>
      </c>
      <c r="M32" s="203">
        <v>0</v>
      </c>
      <c r="N32" s="203">
        <v>62267155.770000003</v>
      </c>
      <c r="O32" s="203">
        <v>7039764.7800000003</v>
      </c>
      <c r="P32" s="203">
        <v>25502.16</v>
      </c>
      <c r="Q32" s="203">
        <v>7014262.6200000001</v>
      </c>
      <c r="R32" s="203">
        <v>7405881.4800000004</v>
      </c>
      <c r="S32" s="203">
        <v>24286885.989999998</v>
      </c>
      <c r="T32" s="203">
        <v>587809.92000000004</v>
      </c>
      <c r="U32" s="203">
        <v>0</v>
      </c>
      <c r="V32" s="203">
        <v>0</v>
      </c>
      <c r="W32" s="203">
        <f t="shared" si="3"/>
        <v>101561995.78</v>
      </c>
      <c r="X32" s="197"/>
      <c r="Y32" s="197"/>
      <c r="AA32" s="197"/>
    </row>
    <row r="33" spans="1:27" s="195" customFormat="1" ht="14.25" customHeight="1" outlineLevel="2">
      <c r="A33" s="199">
        <v>526</v>
      </c>
      <c r="B33" s="200" t="s">
        <v>26</v>
      </c>
      <c r="C33" s="200" t="s">
        <v>59</v>
      </c>
      <c r="D33" s="200" t="s">
        <v>60</v>
      </c>
      <c r="E33" s="200" t="s">
        <v>87</v>
      </c>
      <c r="F33" s="200" t="s">
        <v>88</v>
      </c>
      <c r="G33" s="203">
        <v>88530</v>
      </c>
      <c r="H33" s="203">
        <v>1327.29</v>
      </c>
      <c r="I33" s="203">
        <v>150.06</v>
      </c>
      <c r="J33" s="203">
        <v>5100.3122999999996</v>
      </c>
      <c r="K33" s="203">
        <v>77.556100000000001</v>
      </c>
      <c r="L33" s="203">
        <v>0</v>
      </c>
      <c r="M33" s="203">
        <v>0</v>
      </c>
      <c r="N33" s="203">
        <v>117504983.7</v>
      </c>
      <c r="O33" s="203">
        <v>13284811.800000001</v>
      </c>
      <c r="P33" s="203">
        <v>48125.38</v>
      </c>
      <c r="Q33" s="203">
        <v>13236686.42</v>
      </c>
      <c r="R33" s="203">
        <v>11657873.33</v>
      </c>
      <c r="S33" s="203">
        <v>42587607.710000001</v>
      </c>
      <c r="T33" s="203">
        <v>744538.56</v>
      </c>
      <c r="U33" s="203">
        <v>0</v>
      </c>
      <c r="V33" s="203">
        <v>0</v>
      </c>
      <c r="W33" s="203">
        <f t="shared" si="3"/>
        <v>185731689.72000003</v>
      </c>
      <c r="X33" s="197"/>
      <c r="Y33" s="197"/>
      <c r="AA33" s="197"/>
    </row>
    <row r="34" spans="1:27" s="195" customFormat="1" ht="14.25" customHeight="1" outlineLevel="2">
      <c r="A34" s="199">
        <v>527</v>
      </c>
      <c r="B34" s="200" t="s">
        <v>26</v>
      </c>
      <c r="C34" s="200" t="s">
        <v>59</v>
      </c>
      <c r="D34" s="200" t="s">
        <v>60</v>
      </c>
      <c r="E34" s="200" t="s">
        <v>89</v>
      </c>
      <c r="F34" s="200" t="s">
        <v>90</v>
      </c>
      <c r="G34" s="203">
        <v>22510</v>
      </c>
      <c r="H34" s="203">
        <v>1327.29</v>
      </c>
      <c r="I34" s="203">
        <v>150.06</v>
      </c>
      <c r="J34" s="203">
        <v>1282.1799000000001</v>
      </c>
      <c r="K34" s="203">
        <v>8.1761999999999997</v>
      </c>
      <c r="L34" s="203">
        <v>0</v>
      </c>
      <c r="M34" s="203">
        <v>0</v>
      </c>
      <c r="N34" s="203">
        <v>29877297.899999999</v>
      </c>
      <c r="O34" s="203">
        <v>3377850.6</v>
      </c>
      <c r="P34" s="203">
        <v>12236.56</v>
      </c>
      <c r="Q34" s="203">
        <v>3365614.04</v>
      </c>
      <c r="R34" s="203">
        <v>1868306.06</v>
      </c>
      <c r="S34" s="203">
        <v>10706202.17</v>
      </c>
      <c r="T34" s="203">
        <v>78491.520000000004</v>
      </c>
      <c r="U34" s="203">
        <v>0</v>
      </c>
      <c r="V34" s="203">
        <v>0</v>
      </c>
      <c r="W34" s="203">
        <f t="shared" si="3"/>
        <v>45895911.690000005</v>
      </c>
      <c r="X34" s="197"/>
      <c r="Y34" s="197"/>
      <c r="AA34" s="197"/>
    </row>
    <row r="35" spans="1:27" s="195" customFormat="1" ht="14.25" customHeight="1" outlineLevel="2">
      <c r="A35" s="199">
        <v>528</v>
      </c>
      <c r="B35" s="200" t="s">
        <v>26</v>
      </c>
      <c r="C35" s="200" t="s">
        <v>59</v>
      </c>
      <c r="D35" s="200" t="s">
        <v>60</v>
      </c>
      <c r="E35" s="200" t="s">
        <v>91</v>
      </c>
      <c r="F35" s="200" t="s">
        <v>92</v>
      </c>
      <c r="G35" s="203">
        <v>21071</v>
      </c>
      <c r="H35" s="203">
        <v>1327.29</v>
      </c>
      <c r="I35" s="203">
        <v>150.06</v>
      </c>
      <c r="J35" s="203">
        <v>1011.5075000000001</v>
      </c>
      <c r="K35" s="203">
        <v>17.324999999999999</v>
      </c>
      <c r="L35" s="203">
        <v>0</v>
      </c>
      <c r="M35" s="203">
        <v>0</v>
      </c>
      <c r="N35" s="203">
        <v>27967327.59</v>
      </c>
      <c r="O35" s="203">
        <v>3161914.26</v>
      </c>
      <c r="P35" s="203">
        <v>11454.31</v>
      </c>
      <c r="Q35" s="203">
        <v>3150459.95</v>
      </c>
      <c r="R35" s="203">
        <v>2940918.76</v>
      </c>
      <c r="S35" s="203">
        <v>8446087.6300000008</v>
      </c>
      <c r="T35" s="203">
        <v>166320</v>
      </c>
      <c r="U35" s="203">
        <v>0</v>
      </c>
      <c r="V35" s="203">
        <v>0</v>
      </c>
      <c r="W35" s="203">
        <f t="shared" si="3"/>
        <v>42671113.93</v>
      </c>
      <c r="X35" s="197"/>
      <c r="Y35" s="197"/>
      <c r="AA35" s="197"/>
    </row>
    <row r="36" spans="1:27" s="195" customFormat="1" ht="14.25" customHeight="1" outlineLevel="2">
      <c r="A36" s="199">
        <v>529</v>
      </c>
      <c r="B36" s="200" t="s">
        <v>26</v>
      </c>
      <c r="C36" s="200" t="s">
        <v>59</v>
      </c>
      <c r="D36" s="200" t="s">
        <v>60</v>
      </c>
      <c r="E36" s="200" t="s">
        <v>93</v>
      </c>
      <c r="F36" s="200" t="s">
        <v>94</v>
      </c>
      <c r="G36" s="203">
        <v>23839</v>
      </c>
      <c r="H36" s="203">
        <v>1327.29</v>
      </c>
      <c r="I36" s="203">
        <v>150.06</v>
      </c>
      <c r="J36" s="203">
        <v>1333.4483</v>
      </c>
      <c r="K36" s="203">
        <v>18.182600000000001</v>
      </c>
      <c r="L36" s="203">
        <v>0</v>
      </c>
      <c r="M36" s="203">
        <v>0</v>
      </c>
      <c r="N36" s="203">
        <v>31641266.309999999</v>
      </c>
      <c r="O36" s="203">
        <v>3577280.34</v>
      </c>
      <c r="P36" s="203">
        <v>12959.01</v>
      </c>
      <c r="Q36" s="203">
        <v>3564321.33</v>
      </c>
      <c r="R36" s="203">
        <v>2424297.7000000002</v>
      </c>
      <c r="S36" s="203">
        <v>11134293.310000001</v>
      </c>
      <c r="T36" s="203">
        <v>174552.95999999999</v>
      </c>
      <c r="U36" s="203">
        <v>0</v>
      </c>
      <c r="V36" s="203">
        <v>0</v>
      </c>
      <c r="W36" s="203">
        <f t="shared" si="3"/>
        <v>48938731.610000007</v>
      </c>
      <c r="X36" s="197"/>
      <c r="Y36" s="197"/>
      <c r="AA36" s="197"/>
    </row>
    <row r="37" spans="1:27" s="195" customFormat="1" ht="14.25" customHeight="1" outlineLevel="2">
      <c r="A37" s="199">
        <v>530</v>
      </c>
      <c r="B37" s="200" t="s">
        <v>26</v>
      </c>
      <c r="C37" s="200" t="s">
        <v>59</v>
      </c>
      <c r="D37" s="200" t="s">
        <v>60</v>
      </c>
      <c r="E37" s="200" t="s">
        <v>95</v>
      </c>
      <c r="F37" s="200" t="s">
        <v>96</v>
      </c>
      <c r="G37" s="203">
        <v>19516</v>
      </c>
      <c r="H37" s="203">
        <v>1327.29</v>
      </c>
      <c r="I37" s="203">
        <v>150.06</v>
      </c>
      <c r="J37" s="203">
        <v>1482.5989</v>
      </c>
      <c r="K37" s="203">
        <v>23.538900000000002</v>
      </c>
      <c r="L37" s="203">
        <v>0</v>
      </c>
      <c r="M37" s="203">
        <v>0</v>
      </c>
      <c r="N37" s="203">
        <v>25903391.640000001</v>
      </c>
      <c r="O37" s="203">
        <v>2928570.96</v>
      </c>
      <c r="P37" s="203">
        <v>10609</v>
      </c>
      <c r="Q37" s="203">
        <v>2917961.96</v>
      </c>
      <c r="R37" s="203">
        <v>2664458.46</v>
      </c>
      <c r="S37" s="203">
        <v>12379700.82</v>
      </c>
      <c r="T37" s="203">
        <v>225973.44</v>
      </c>
      <c r="U37" s="203">
        <v>0</v>
      </c>
      <c r="V37" s="203">
        <v>0</v>
      </c>
      <c r="W37" s="203">
        <f t="shared" si="3"/>
        <v>44091486.32</v>
      </c>
      <c r="X37" s="197"/>
      <c r="Y37" s="197"/>
      <c r="AA37" s="197"/>
    </row>
    <row r="38" spans="1:27" s="195" customFormat="1" ht="14.25" customHeight="1" outlineLevel="2">
      <c r="A38" s="199">
        <v>531</v>
      </c>
      <c r="B38" s="200" t="s">
        <v>26</v>
      </c>
      <c r="C38" s="200" t="s">
        <v>59</v>
      </c>
      <c r="D38" s="200" t="s">
        <v>60</v>
      </c>
      <c r="E38" s="200" t="s">
        <v>97</v>
      </c>
      <c r="F38" s="200" t="s">
        <v>98</v>
      </c>
      <c r="G38" s="203">
        <v>98766</v>
      </c>
      <c r="H38" s="203">
        <v>1327.29</v>
      </c>
      <c r="I38" s="203">
        <v>150.06</v>
      </c>
      <c r="J38" s="203">
        <v>6844.8869000000004</v>
      </c>
      <c r="K38" s="203">
        <v>155.17359999999999</v>
      </c>
      <c r="L38" s="203">
        <v>42.033100000000005</v>
      </c>
      <c r="M38" s="203">
        <v>0</v>
      </c>
      <c r="N38" s="203">
        <v>131091124.14</v>
      </c>
      <c r="O38" s="203">
        <v>14820825.960000001</v>
      </c>
      <c r="P38" s="203">
        <v>53689.73</v>
      </c>
      <c r="Q38" s="203">
        <v>14767136.23</v>
      </c>
      <c r="R38" s="203">
        <v>14273211.529999999</v>
      </c>
      <c r="S38" s="203">
        <v>57154805.619999997</v>
      </c>
      <c r="T38" s="203">
        <v>1489666.56</v>
      </c>
      <c r="U38" s="203">
        <v>378297.9</v>
      </c>
      <c r="V38" s="203">
        <v>0</v>
      </c>
      <c r="W38" s="203">
        <f t="shared" si="3"/>
        <v>219154241.98000002</v>
      </c>
      <c r="X38" s="197"/>
      <c r="Y38" s="197"/>
      <c r="AA38" s="197"/>
    </row>
    <row r="39" spans="1:27" s="195" customFormat="1" ht="14.25" customHeight="1" outlineLevel="2">
      <c r="A39" s="199">
        <v>532</v>
      </c>
      <c r="B39" s="200" t="s">
        <v>26</v>
      </c>
      <c r="C39" s="200" t="s">
        <v>59</v>
      </c>
      <c r="D39" s="200" t="s">
        <v>60</v>
      </c>
      <c r="E39" s="200" t="s">
        <v>99</v>
      </c>
      <c r="F39" s="200" t="s">
        <v>100</v>
      </c>
      <c r="G39" s="203">
        <v>18370</v>
      </c>
      <c r="H39" s="203">
        <v>1327.29</v>
      </c>
      <c r="I39" s="203">
        <v>150.06</v>
      </c>
      <c r="J39" s="203">
        <v>940.37959999999998</v>
      </c>
      <c r="K39" s="203">
        <v>8.8940999999999999</v>
      </c>
      <c r="L39" s="203">
        <v>0</v>
      </c>
      <c r="M39" s="203">
        <v>0</v>
      </c>
      <c r="N39" s="203">
        <v>24382317.300000001</v>
      </c>
      <c r="O39" s="203">
        <v>2756602.2</v>
      </c>
      <c r="P39" s="203">
        <v>9986.0300000000007</v>
      </c>
      <c r="Q39" s="203">
        <v>2746616.17</v>
      </c>
      <c r="R39" s="203">
        <v>1859513.23</v>
      </c>
      <c r="S39" s="203">
        <v>7852169.6600000001</v>
      </c>
      <c r="T39" s="203">
        <v>85383.360000000001</v>
      </c>
      <c r="U39" s="203">
        <v>0</v>
      </c>
      <c r="V39" s="203">
        <v>0</v>
      </c>
      <c r="W39" s="203">
        <f t="shared" si="3"/>
        <v>36925999.719999999</v>
      </c>
      <c r="X39" s="197"/>
      <c r="Y39" s="197"/>
      <c r="AA39" s="197"/>
    </row>
    <row r="40" spans="1:27" s="195" customFormat="1" ht="14.25" customHeight="1" outlineLevel="2">
      <c r="A40" s="199">
        <v>533</v>
      </c>
      <c r="B40" s="200" t="s">
        <v>26</v>
      </c>
      <c r="C40" s="200" t="s">
        <v>59</v>
      </c>
      <c r="D40" s="200" t="s">
        <v>60</v>
      </c>
      <c r="E40" s="200" t="s">
        <v>101</v>
      </c>
      <c r="F40" s="200" t="s">
        <v>102</v>
      </c>
      <c r="G40" s="203">
        <v>19192</v>
      </c>
      <c r="H40" s="203">
        <v>1327.29</v>
      </c>
      <c r="I40" s="203">
        <v>150.06</v>
      </c>
      <c r="J40" s="203">
        <v>727.15110000000004</v>
      </c>
      <c r="K40" s="203">
        <v>17.854199999999999</v>
      </c>
      <c r="L40" s="203">
        <v>0</v>
      </c>
      <c r="M40" s="203">
        <v>0</v>
      </c>
      <c r="N40" s="203">
        <v>25473349.68</v>
      </c>
      <c r="O40" s="203">
        <v>2879951.52</v>
      </c>
      <c r="P40" s="203">
        <v>10432.870000000001</v>
      </c>
      <c r="Q40" s="203">
        <v>2869518.65</v>
      </c>
      <c r="R40" s="203">
        <v>2392064.84</v>
      </c>
      <c r="S40" s="203">
        <v>6071711.6900000004</v>
      </c>
      <c r="T40" s="203">
        <v>171400.32000000001</v>
      </c>
      <c r="U40" s="203">
        <v>0</v>
      </c>
      <c r="V40" s="203">
        <v>0</v>
      </c>
      <c r="W40" s="203">
        <f t="shared" si="3"/>
        <v>36978045.18</v>
      </c>
      <c r="X40" s="197"/>
      <c r="Y40" s="197"/>
      <c r="AA40" s="197"/>
    </row>
    <row r="41" spans="1:27" s="195" customFormat="1" ht="14.25" customHeight="1" outlineLevel="1">
      <c r="A41" s="221"/>
      <c r="B41" s="222"/>
      <c r="C41" s="222"/>
      <c r="D41" s="223" t="s">
        <v>265</v>
      </c>
      <c r="E41" s="222"/>
      <c r="F41" s="222"/>
      <c r="G41" s="224">
        <f>SUBTOTAL(9,G20:G40)</f>
        <v>1159058</v>
      </c>
      <c r="H41" s="224"/>
      <c r="I41" s="224"/>
      <c r="J41" s="224">
        <f t="shared" ref="J41:W41" si="4">SUBTOTAL(9,J20:J40)</f>
        <v>179445.75459999999</v>
      </c>
      <c r="K41" s="224">
        <f t="shared" si="4"/>
        <v>3970.0702000000001</v>
      </c>
      <c r="L41" s="224">
        <f t="shared" si="4"/>
        <v>2692.0107999999991</v>
      </c>
      <c r="M41" s="224">
        <f t="shared" si="4"/>
        <v>397.06099999999992</v>
      </c>
      <c r="N41" s="224">
        <f t="shared" si="4"/>
        <v>1538406092.8200004</v>
      </c>
      <c r="O41" s="224">
        <f t="shared" si="4"/>
        <v>173928243.48000002</v>
      </c>
      <c r="P41" s="224">
        <f t="shared" si="4"/>
        <v>630070.15000000014</v>
      </c>
      <c r="Q41" s="224">
        <f t="shared" si="4"/>
        <v>173298173.32999995</v>
      </c>
      <c r="R41" s="224">
        <f t="shared" si="4"/>
        <v>142393064.19999996</v>
      </c>
      <c r="S41" s="224">
        <f t="shared" si="4"/>
        <v>1498372050.98</v>
      </c>
      <c r="T41" s="224">
        <f t="shared" si="4"/>
        <v>38112673.920000009</v>
      </c>
      <c r="U41" s="224">
        <f t="shared" si="4"/>
        <v>24228097.199999999</v>
      </c>
      <c r="V41" s="224">
        <f t="shared" si="4"/>
        <v>4764732</v>
      </c>
      <c r="W41" s="224">
        <f t="shared" si="4"/>
        <v>3419574884.4500003</v>
      </c>
      <c r="X41" s="197"/>
      <c r="Y41" s="197"/>
      <c r="AA41" s="197"/>
    </row>
    <row r="42" spans="1:27" s="195" customFormat="1" ht="14.25" customHeight="1" outlineLevel="2">
      <c r="A42" s="199">
        <v>534</v>
      </c>
      <c r="B42" s="200" t="s">
        <v>26</v>
      </c>
      <c r="C42" s="200" t="s">
        <v>103</v>
      </c>
      <c r="D42" s="200" t="s">
        <v>104</v>
      </c>
      <c r="E42" s="200" t="s">
        <v>105</v>
      </c>
      <c r="F42" s="200" t="s">
        <v>106</v>
      </c>
      <c r="G42" s="203">
        <v>92878</v>
      </c>
      <c r="H42" s="203">
        <v>1366.8899999999999</v>
      </c>
      <c r="I42" s="203">
        <v>151.04</v>
      </c>
      <c r="J42" s="203">
        <v>40982.7598</v>
      </c>
      <c r="K42" s="203">
        <v>940.09939999999995</v>
      </c>
      <c r="L42" s="203">
        <v>3442.6179999999977</v>
      </c>
      <c r="M42" s="203">
        <v>59.141199999999998</v>
      </c>
      <c r="N42" s="203">
        <v>126954009.42</v>
      </c>
      <c r="O42" s="203">
        <v>14028293.119999999</v>
      </c>
      <c r="P42" s="203">
        <v>50488.98</v>
      </c>
      <c r="Q42" s="203">
        <v>13977804.140000001</v>
      </c>
      <c r="R42" s="203">
        <v>13241288.310000001</v>
      </c>
      <c r="S42" s="203">
        <v>342206044.32999998</v>
      </c>
      <c r="T42" s="203">
        <v>9024954.2400000002</v>
      </c>
      <c r="U42" s="203">
        <v>30983562</v>
      </c>
      <c r="V42" s="203">
        <v>709694.4</v>
      </c>
      <c r="W42" s="203">
        <f t="shared" si="3"/>
        <v>537097356.84000003</v>
      </c>
      <c r="X42" s="197"/>
      <c r="Y42" s="197"/>
      <c r="AA42" s="197"/>
    </row>
    <row r="43" spans="1:27" s="195" customFormat="1" ht="14.25" customHeight="1" outlineLevel="2">
      <c r="A43" s="199">
        <v>535</v>
      </c>
      <c r="B43" s="200" t="s">
        <v>26</v>
      </c>
      <c r="C43" s="200" t="s">
        <v>103</v>
      </c>
      <c r="D43" s="200" t="s">
        <v>104</v>
      </c>
      <c r="E43" s="200" t="s">
        <v>107</v>
      </c>
      <c r="F43" s="200" t="s">
        <v>108</v>
      </c>
      <c r="G43" s="203">
        <v>21557</v>
      </c>
      <c r="H43" s="203">
        <v>1366.8899999999999</v>
      </c>
      <c r="I43" s="203">
        <v>151.04</v>
      </c>
      <c r="J43" s="203">
        <v>1280.3031000000001</v>
      </c>
      <c r="K43" s="203">
        <v>18.897400000000001</v>
      </c>
      <c r="L43" s="203">
        <v>0</v>
      </c>
      <c r="M43" s="203">
        <v>0</v>
      </c>
      <c r="N43" s="203">
        <v>29466047.73</v>
      </c>
      <c r="O43" s="203">
        <v>3255969.28</v>
      </c>
      <c r="P43" s="203">
        <v>11718.5</v>
      </c>
      <c r="Q43" s="203">
        <v>3244250.78</v>
      </c>
      <c r="R43" s="203">
        <v>2244801.02</v>
      </c>
      <c r="S43" s="203">
        <v>10690530.890000001</v>
      </c>
      <c r="T43" s="203">
        <v>181415.04000000001</v>
      </c>
      <c r="U43" s="203">
        <v>0</v>
      </c>
      <c r="V43" s="203">
        <v>0</v>
      </c>
      <c r="W43" s="203">
        <f t="shared" si="3"/>
        <v>45827045.460000001</v>
      </c>
      <c r="X43" s="197"/>
      <c r="Y43" s="197"/>
      <c r="AA43" s="197"/>
    </row>
    <row r="44" spans="1:27" s="195" customFormat="1" ht="14.25" customHeight="1" outlineLevel="2">
      <c r="A44" s="199">
        <v>536</v>
      </c>
      <c r="B44" s="200" t="s">
        <v>26</v>
      </c>
      <c r="C44" s="200" t="s">
        <v>103</v>
      </c>
      <c r="D44" s="200" t="s">
        <v>104</v>
      </c>
      <c r="E44" s="200" t="s">
        <v>109</v>
      </c>
      <c r="F44" s="200" t="s">
        <v>110</v>
      </c>
      <c r="G44" s="203">
        <v>47394</v>
      </c>
      <c r="H44" s="203">
        <v>1366.8899999999999</v>
      </c>
      <c r="I44" s="203">
        <v>151.04</v>
      </c>
      <c r="J44" s="203">
        <v>2564.0414000000001</v>
      </c>
      <c r="K44" s="203">
        <v>32.728200000000001</v>
      </c>
      <c r="L44" s="203">
        <v>0</v>
      </c>
      <c r="M44" s="203">
        <v>0</v>
      </c>
      <c r="N44" s="203">
        <v>64782384.659999996</v>
      </c>
      <c r="O44" s="203">
        <v>7158389.7599999998</v>
      </c>
      <c r="P44" s="203">
        <v>25763.63</v>
      </c>
      <c r="Q44" s="203">
        <v>7132626.1299999999</v>
      </c>
      <c r="R44" s="203">
        <v>4812916.5199999996</v>
      </c>
      <c r="S44" s="203">
        <v>21409745.690000001</v>
      </c>
      <c r="T44" s="203">
        <v>314190.71999999997</v>
      </c>
      <c r="U44" s="203">
        <v>0</v>
      </c>
      <c r="V44" s="203">
        <v>0</v>
      </c>
      <c r="W44" s="203">
        <f t="shared" si="3"/>
        <v>98451863.719999984</v>
      </c>
      <c r="X44" s="197"/>
      <c r="Y44" s="197"/>
      <c r="AA44" s="197"/>
    </row>
    <row r="45" spans="1:27" s="195" customFormat="1" ht="14.25" customHeight="1" outlineLevel="2">
      <c r="A45" s="199">
        <v>537</v>
      </c>
      <c r="B45" s="200" t="s">
        <v>26</v>
      </c>
      <c r="C45" s="200" t="s">
        <v>103</v>
      </c>
      <c r="D45" s="200" t="s">
        <v>104</v>
      </c>
      <c r="E45" s="200" t="s">
        <v>111</v>
      </c>
      <c r="F45" s="200" t="s">
        <v>112</v>
      </c>
      <c r="G45" s="203">
        <v>35396</v>
      </c>
      <c r="H45" s="203">
        <v>1366.8899999999999</v>
      </c>
      <c r="I45" s="203">
        <v>151.04</v>
      </c>
      <c r="J45" s="203">
        <v>2354.625</v>
      </c>
      <c r="K45" s="203">
        <v>50.146599999999999</v>
      </c>
      <c r="L45" s="203">
        <v>0</v>
      </c>
      <c r="M45" s="203">
        <v>0</v>
      </c>
      <c r="N45" s="203">
        <v>48382438.439999998</v>
      </c>
      <c r="O45" s="203">
        <v>5346211.8399999999</v>
      </c>
      <c r="P45" s="203">
        <v>19241.46</v>
      </c>
      <c r="Q45" s="203">
        <v>5326970.38</v>
      </c>
      <c r="R45" s="203">
        <v>4432086.57</v>
      </c>
      <c r="S45" s="203">
        <v>19661118.75</v>
      </c>
      <c r="T45" s="203">
        <v>481407.36</v>
      </c>
      <c r="U45" s="203">
        <v>0</v>
      </c>
      <c r="V45" s="203">
        <v>0</v>
      </c>
      <c r="W45" s="203">
        <f t="shared" si="3"/>
        <v>78284021.5</v>
      </c>
      <c r="X45" s="197"/>
      <c r="Y45" s="197"/>
      <c r="AA45" s="197"/>
    </row>
    <row r="46" spans="1:27" s="195" customFormat="1" ht="14.25" customHeight="1" outlineLevel="2">
      <c r="A46" s="199">
        <v>538</v>
      </c>
      <c r="B46" s="200" t="s">
        <v>26</v>
      </c>
      <c r="C46" s="200" t="s">
        <v>103</v>
      </c>
      <c r="D46" s="200" t="s">
        <v>104</v>
      </c>
      <c r="E46" s="200" t="s">
        <v>113</v>
      </c>
      <c r="F46" s="200" t="s">
        <v>114</v>
      </c>
      <c r="G46" s="203">
        <v>8844</v>
      </c>
      <c r="H46" s="203">
        <v>1366.8899999999999</v>
      </c>
      <c r="I46" s="203">
        <v>151.04</v>
      </c>
      <c r="J46" s="203">
        <v>580.39110000000005</v>
      </c>
      <c r="K46" s="203">
        <v>16.4788</v>
      </c>
      <c r="L46" s="203">
        <v>0</v>
      </c>
      <c r="M46" s="203">
        <v>0</v>
      </c>
      <c r="N46" s="203">
        <v>12088775.16</v>
      </c>
      <c r="O46" s="203">
        <v>1335797.76</v>
      </c>
      <c r="P46" s="203">
        <v>4807.6499999999996</v>
      </c>
      <c r="Q46" s="203">
        <v>1330990.1100000001</v>
      </c>
      <c r="R46" s="203">
        <v>973243.97</v>
      </c>
      <c r="S46" s="203">
        <v>4846265.6900000004</v>
      </c>
      <c r="T46" s="203">
        <v>158196.48000000001</v>
      </c>
      <c r="U46" s="203">
        <v>0</v>
      </c>
      <c r="V46" s="203">
        <v>0</v>
      </c>
      <c r="W46" s="203">
        <f t="shared" si="3"/>
        <v>19397471.41</v>
      </c>
      <c r="X46" s="197"/>
      <c r="Y46" s="197"/>
      <c r="AA46" s="197"/>
    </row>
    <row r="47" spans="1:27" s="195" customFormat="1" ht="14.25" customHeight="1" outlineLevel="2">
      <c r="A47" s="199">
        <v>539</v>
      </c>
      <c r="B47" s="200" t="s">
        <v>26</v>
      </c>
      <c r="C47" s="200" t="s">
        <v>103</v>
      </c>
      <c r="D47" s="200" t="s">
        <v>104</v>
      </c>
      <c r="E47" s="200" t="s">
        <v>115</v>
      </c>
      <c r="F47" s="200" t="s">
        <v>116</v>
      </c>
      <c r="G47" s="203">
        <v>18142</v>
      </c>
      <c r="H47" s="203">
        <v>1366.8899999999999</v>
      </c>
      <c r="I47" s="203">
        <v>151.04</v>
      </c>
      <c r="J47" s="203">
        <v>1000.0644</v>
      </c>
      <c r="K47" s="203">
        <v>22.388000000000002</v>
      </c>
      <c r="L47" s="203">
        <v>0</v>
      </c>
      <c r="M47" s="203">
        <v>0</v>
      </c>
      <c r="N47" s="203">
        <v>24798118.379999999</v>
      </c>
      <c r="O47" s="203">
        <v>2740167.68</v>
      </c>
      <c r="P47" s="203">
        <v>9862.09</v>
      </c>
      <c r="Q47" s="203">
        <v>2730305.59</v>
      </c>
      <c r="R47" s="203">
        <v>2310488.67</v>
      </c>
      <c r="S47" s="203">
        <v>8350537.7400000002</v>
      </c>
      <c r="T47" s="203">
        <v>214924.79999999999</v>
      </c>
      <c r="U47" s="203">
        <v>0</v>
      </c>
      <c r="V47" s="203">
        <v>0</v>
      </c>
      <c r="W47" s="203">
        <f t="shared" si="3"/>
        <v>38404375.18</v>
      </c>
      <c r="X47" s="197"/>
      <c r="Y47" s="197"/>
      <c r="AA47" s="197"/>
    </row>
    <row r="48" spans="1:27" s="195" customFormat="1" ht="14.25" customHeight="1" outlineLevel="2">
      <c r="A48" s="199">
        <v>540</v>
      </c>
      <c r="B48" s="200" t="s">
        <v>26</v>
      </c>
      <c r="C48" s="200" t="s">
        <v>103</v>
      </c>
      <c r="D48" s="200" t="s">
        <v>104</v>
      </c>
      <c r="E48" s="200" t="s">
        <v>117</v>
      </c>
      <c r="F48" s="200" t="s">
        <v>118</v>
      </c>
      <c r="G48" s="203">
        <v>21107</v>
      </c>
      <c r="H48" s="203">
        <v>1366.8899999999999</v>
      </c>
      <c r="I48" s="203">
        <v>151.04</v>
      </c>
      <c r="J48" s="203">
        <v>1445.2726</v>
      </c>
      <c r="K48" s="203">
        <v>20.837199999999999</v>
      </c>
      <c r="L48" s="203">
        <v>3.6461000000000001</v>
      </c>
      <c r="M48" s="203">
        <v>0</v>
      </c>
      <c r="N48" s="203">
        <v>28850947.23</v>
      </c>
      <c r="O48" s="203">
        <v>3188001.28</v>
      </c>
      <c r="P48" s="203">
        <v>11473.88</v>
      </c>
      <c r="Q48" s="203">
        <v>3176527.4</v>
      </c>
      <c r="R48" s="203">
        <v>2643323.33</v>
      </c>
      <c r="S48" s="203">
        <v>12068026.210000001</v>
      </c>
      <c r="T48" s="203">
        <v>200037.12</v>
      </c>
      <c r="U48" s="203">
        <v>32814.9</v>
      </c>
      <c r="V48" s="203">
        <v>0</v>
      </c>
      <c r="W48" s="203">
        <f t="shared" si="3"/>
        <v>46971676.189999998</v>
      </c>
      <c r="X48" s="197"/>
      <c r="Y48" s="197"/>
      <c r="AA48" s="197"/>
    </row>
    <row r="49" spans="1:27" s="195" customFormat="1" ht="14.25" customHeight="1" outlineLevel="2">
      <c r="A49" s="199">
        <v>541</v>
      </c>
      <c r="B49" s="200" t="s">
        <v>26</v>
      </c>
      <c r="C49" s="200" t="s">
        <v>103</v>
      </c>
      <c r="D49" s="200" t="s">
        <v>104</v>
      </c>
      <c r="E49" s="200" t="s">
        <v>119</v>
      </c>
      <c r="F49" s="200" t="s">
        <v>120</v>
      </c>
      <c r="G49" s="203">
        <v>86677</v>
      </c>
      <c r="H49" s="203">
        <v>1366.8899999999999</v>
      </c>
      <c r="I49" s="203">
        <v>151.04</v>
      </c>
      <c r="J49" s="203">
        <v>5484.8693000000003</v>
      </c>
      <c r="K49" s="203">
        <v>83.618700000000004</v>
      </c>
      <c r="L49" s="203">
        <v>1.9117999999999999</v>
      </c>
      <c r="M49" s="203">
        <v>0</v>
      </c>
      <c r="N49" s="203">
        <v>118477924.53</v>
      </c>
      <c r="O49" s="203">
        <v>13091694.08</v>
      </c>
      <c r="P49" s="203">
        <v>47118.080000000002</v>
      </c>
      <c r="Q49" s="203">
        <v>13044576</v>
      </c>
      <c r="R49" s="203">
        <v>6534240.0099999998</v>
      </c>
      <c r="S49" s="203">
        <v>45798658.659999996</v>
      </c>
      <c r="T49" s="203">
        <v>802739.52</v>
      </c>
      <c r="U49" s="203">
        <v>17206.2</v>
      </c>
      <c r="V49" s="203">
        <v>0</v>
      </c>
      <c r="W49" s="203">
        <f t="shared" si="3"/>
        <v>184675344.91999999</v>
      </c>
      <c r="X49" s="197"/>
      <c r="Y49" s="197"/>
      <c r="AA49" s="197"/>
    </row>
    <row r="50" spans="1:27" s="195" customFormat="1" ht="14.25" customHeight="1" outlineLevel="2">
      <c r="A50" s="199">
        <v>542</v>
      </c>
      <c r="B50" s="200" t="s">
        <v>26</v>
      </c>
      <c r="C50" s="200" t="s">
        <v>103</v>
      </c>
      <c r="D50" s="200" t="s">
        <v>104</v>
      </c>
      <c r="E50" s="200" t="s">
        <v>121</v>
      </c>
      <c r="F50" s="200" t="s">
        <v>122</v>
      </c>
      <c r="G50" s="203">
        <v>26890</v>
      </c>
      <c r="H50" s="203">
        <v>1366.8899999999999</v>
      </c>
      <c r="I50" s="203">
        <v>151.04</v>
      </c>
      <c r="J50" s="203">
        <v>1525.2987000000001</v>
      </c>
      <c r="K50" s="203">
        <v>46.270600000000002</v>
      </c>
      <c r="L50" s="203">
        <v>0</v>
      </c>
      <c r="M50" s="203">
        <v>0</v>
      </c>
      <c r="N50" s="203">
        <v>36755672.100000001</v>
      </c>
      <c r="O50" s="203">
        <v>4061465.6</v>
      </c>
      <c r="P50" s="203">
        <v>14617.55</v>
      </c>
      <c r="Q50" s="203">
        <v>4046848.05</v>
      </c>
      <c r="R50" s="203">
        <v>2319598.31</v>
      </c>
      <c r="S50" s="203">
        <v>12736244.15</v>
      </c>
      <c r="T50" s="203">
        <v>444197.76</v>
      </c>
      <c r="U50" s="203">
        <v>0</v>
      </c>
      <c r="V50" s="203">
        <v>0</v>
      </c>
      <c r="W50" s="203">
        <f t="shared" si="3"/>
        <v>56302560.369999997</v>
      </c>
      <c r="X50" s="197"/>
      <c r="Y50" s="197"/>
      <c r="AA50" s="197"/>
    </row>
    <row r="51" spans="1:27" s="195" customFormat="1" ht="14.25" customHeight="1" outlineLevel="2">
      <c r="A51" s="199">
        <v>543</v>
      </c>
      <c r="B51" s="200" t="s">
        <v>26</v>
      </c>
      <c r="C51" s="200" t="s">
        <v>103</v>
      </c>
      <c r="D51" s="200" t="s">
        <v>104</v>
      </c>
      <c r="E51" s="200" t="s">
        <v>123</v>
      </c>
      <c r="F51" s="200" t="s">
        <v>124</v>
      </c>
      <c r="G51" s="203">
        <v>20332</v>
      </c>
      <c r="H51" s="203">
        <v>1366.8899999999999</v>
      </c>
      <c r="I51" s="203">
        <v>151.04</v>
      </c>
      <c r="J51" s="203">
        <v>1602.0282999999999</v>
      </c>
      <c r="K51" s="203">
        <v>18.923400000000001</v>
      </c>
      <c r="L51" s="203">
        <v>0</v>
      </c>
      <c r="M51" s="203">
        <v>0</v>
      </c>
      <c r="N51" s="203">
        <v>27791607.48</v>
      </c>
      <c r="O51" s="203">
        <v>3070945.2799999998</v>
      </c>
      <c r="P51" s="203">
        <v>11052.58</v>
      </c>
      <c r="Q51" s="203">
        <v>3059892.7</v>
      </c>
      <c r="R51" s="203">
        <v>2253719.9300000002</v>
      </c>
      <c r="S51" s="203">
        <v>13376936.310000001</v>
      </c>
      <c r="T51" s="203">
        <v>181664.64000000001</v>
      </c>
      <c r="U51" s="203">
        <v>0</v>
      </c>
      <c r="V51" s="203">
        <v>0</v>
      </c>
      <c r="W51" s="203">
        <f t="shared" si="3"/>
        <v>46663821.060000002</v>
      </c>
      <c r="X51" s="197"/>
      <c r="Y51" s="197"/>
      <c r="AA51" s="197"/>
    </row>
    <row r="52" spans="1:27" s="195" customFormat="1" ht="14.25" customHeight="1" outlineLevel="2">
      <c r="A52" s="199">
        <v>544</v>
      </c>
      <c r="B52" s="200" t="s">
        <v>26</v>
      </c>
      <c r="C52" s="200" t="s">
        <v>103</v>
      </c>
      <c r="D52" s="200" t="s">
        <v>104</v>
      </c>
      <c r="E52" s="200" t="s">
        <v>125</v>
      </c>
      <c r="F52" s="200" t="s">
        <v>126</v>
      </c>
      <c r="G52" s="203">
        <v>32201</v>
      </c>
      <c r="H52" s="203">
        <v>1366.8899999999999</v>
      </c>
      <c r="I52" s="203">
        <v>151.04</v>
      </c>
      <c r="J52" s="203">
        <v>1936.6090999999999</v>
      </c>
      <c r="K52" s="203">
        <v>38.115400000000001</v>
      </c>
      <c r="L52" s="203">
        <v>0</v>
      </c>
      <c r="M52" s="203">
        <v>0</v>
      </c>
      <c r="N52" s="203">
        <v>44015224.890000001</v>
      </c>
      <c r="O52" s="203">
        <v>4863639.04</v>
      </c>
      <c r="P52" s="203">
        <v>17504.64</v>
      </c>
      <c r="Q52" s="203">
        <v>4846134.4000000004</v>
      </c>
      <c r="R52" s="203">
        <v>3069598.02</v>
      </c>
      <c r="S52" s="203">
        <v>16170685.99</v>
      </c>
      <c r="T52" s="203">
        <v>365907.84</v>
      </c>
      <c r="U52" s="203">
        <v>0</v>
      </c>
      <c r="V52" s="203">
        <v>0</v>
      </c>
      <c r="W52" s="203">
        <f t="shared" si="3"/>
        <v>68467551.140000001</v>
      </c>
      <c r="X52" s="197"/>
      <c r="Y52" s="197"/>
      <c r="AA52" s="197"/>
    </row>
    <row r="53" spans="1:27" s="195" customFormat="1" ht="14.25" customHeight="1" outlineLevel="2">
      <c r="A53" s="199">
        <v>545</v>
      </c>
      <c r="B53" s="200" t="s">
        <v>26</v>
      </c>
      <c r="C53" s="200" t="s">
        <v>103</v>
      </c>
      <c r="D53" s="200" t="s">
        <v>104</v>
      </c>
      <c r="E53" s="200" t="s">
        <v>127</v>
      </c>
      <c r="F53" s="200" t="s">
        <v>128</v>
      </c>
      <c r="G53" s="203">
        <v>42116</v>
      </c>
      <c r="H53" s="203">
        <v>1366.8899999999999</v>
      </c>
      <c r="I53" s="203">
        <v>151.04</v>
      </c>
      <c r="J53" s="203">
        <v>2521.5257000000001</v>
      </c>
      <c r="K53" s="203">
        <v>76.670299999999997</v>
      </c>
      <c r="L53" s="203">
        <v>7.5739999999999998</v>
      </c>
      <c r="M53" s="203">
        <v>0</v>
      </c>
      <c r="N53" s="203">
        <v>57567939.240000002</v>
      </c>
      <c r="O53" s="203">
        <v>6361200.6399999997</v>
      </c>
      <c r="P53" s="203">
        <v>22894.48</v>
      </c>
      <c r="Q53" s="203">
        <v>6338306.1600000001</v>
      </c>
      <c r="R53" s="203">
        <v>3947316.89</v>
      </c>
      <c r="S53" s="203">
        <v>21054739.600000001</v>
      </c>
      <c r="T53" s="203">
        <v>736034.88</v>
      </c>
      <c r="U53" s="203">
        <v>68166</v>
      </c>
      <c r="V53" s="203">
        <v>0</v>
      </c>
      <c r="W53" s="203">
        <f t="shared" si="3"/>
        <v>89712502.770000011</v>
      </c>
      <c r="X53" s="197"/>
      <c r="Y53" s="197"/>
      <c r="AA53" s="197"/>
    </row>
    <row r="54" spans="1:27" s="195" customFormat="1" ht="14.25" customHeight="1" outlineLevel="2">
      <c r="A54" s="199">
        <v>546</v>
      </c>
      <c r="B54" s="200" t="s">
        <v>26</v>
      </c>
      <c r="C54" s="200" t="s">
        <v>103</v>
      </c>
      <c r="D54" s="200" t="s">
        <v>104</v>
      </c>
      <c r="E54" s="200" t="s">
        <v>129</v>
      </c>
      <c r="F54" s="200" t="s">
        <v>130</v>
      </c>
      <c r="G54" s="203">
        <v>31277</v>
      </c>
      <c r="H54" s="203">
        <v>1366.8899999999999</v>
      </c>
      <c r="I54" s="203">
        <v>151.04</v>
      </c>
      <c r="J54" s="203">
        <v>1906.1126999999999</v>
      </c>
      <c r="K54" s="203">
        <v>44.612099999999998</v>
      </c>
      <c r="L54" s="203">
        <v>0</v>
      </c>
      <c r="M54" s="203">
        <v>0</v>
      </c>
      <c r="N54" s="203">
        <v>42752218.530000001</v>
      </c>
      <c r="O54" s="203">
        <v>4724078.08</v>
      </c>
      <c r="P54" s="203">
        <v>17002.349999999999</v>
      </c>
      <c r="Q54" s="203">
        <v>4707075.7300000004</v>
      </c>
      <c r="R54" s="203">
        <v>3038745.52</v>
      </c>
      <c r="S54" s="203">
        <v>15916041.050000001</v>
      </c>
      <c r="T54" s="203">
        <v>428276.16</v>
      </c>
      <c r="U54" s="203">
        <v>0</v>
      </c>
      <c r="V54" s="203">
        <v>0</v>
      </c>
      <c r="W54" s="203">
        <f t="shared" si="3"/>
        <v>66842356.99000001</v>
      </c>
      <c r="X54" s="197"/>
      <c r="Y54" s="197"/>
      <c r="AA54" s="197"/>
    </row>
    <row r="55" spans="1:27" s="195" customFormat="1" ht="14.25" customHeight="1" outlineLevel="2">
      <c r="A55" s="199">
        <v>547</v>
      </c>
      <c r="B55" s="200" t="s">
        <v>26</v>
      </c>
      <c r="C55" s="200" t="s">
        <v>103</v>
      </c>
      <c r="D55" s="200" t="s">
        <v>104</v>
      </c>
      <c r="E55" s="200" t="s">
        <v>131</v>
      </c>
      <c r="F55" s="200" t="s">
        <v>132</v>
      </c>
      <c r="G55" s="203">
        <v>19889</v>
      </c>
      <c r="H55" s="203">
        <v>1366.8899999999999</v>
      </c>
      <c r="I55" s="203">
        <v>151.04</v>
      </c>
      <c r="J55" s="203">
        <v>1040.8338000000001</v>
      </c>
      <c r="K55" s="203">
        <v>28.459700000000002</v>
      </c>
      <c r="L55" s="203">
        <v>0</v>
      </c>
      <c r="M55" s="203">
        <v>0</v>
      </c>
      <c r="N55" s="203">
        <v>27186075.210000001</v>
      </c>
      <c r="O55" s="203">
        <v>3004034.56</v>
      </c>
      <c r="P55" s="203">
        <v>10811.77</v>
      </c>
      <c r="Q55" s="203">
        <v>2993222.79</v>
      </c>
      <c r="R55" s="203">
        <v>2187763.9700000002</v>
      </c>
      <c r="S55" s="203">
        <v>8690962.2300000004</v>
      </c>
      <c r="T55" s="203">
        <v>273213.12</v>
      </c>
      <c r="U55" s="203">
        <v>0</v>
      </c>
      <c r="V55" s="203">
        <v>0</v>
      </c>
      <c r="W55" s="203">
        <f t="shared" si="3"/>
        <v>41331237.32</v>
      </c>
      <c r="X55" s="197"/>
      <c r="Y55" s="197"/>
      <c r="AA55" s="197"/>
    </row>
    <row r="56" spans="1:27" s="195" customFormat="1" ht="14.25" customHeight="1" outlineLevel="1">
      <c r="A56" s="221"/>
      <c r="B56" s="222"/>
      <c r="C56" s="222"/>
      <c r="D56" s="223" t="s">
        <v>266</v>
      </c>
      <c r="E56" s="222"/>
      <c r="F56" s="222"/>
      <c r="G56" s="224">
        <f>SUBTOTAL(9,G42:G55)</f>
        <v>504700</v>
      </c>
      <c r="H56" s="224"/>
      <c r="I56" s="224"/>
      <c r="J56" s="224">
        <f t="shared" ref="J56:W56" si="5">SUBTOTAL(9,J42:J55)</f>
        <v>66224.734999999986</v>
      </c>
      <c r="K56" s="224">
        <f t="shared" si="5"/>
        <v>1438.2457999999999</v>
      </c>
      <c r="L56" s="224">
        <f t="shared" si="5"/>
        <v>3455.7498999999975</v>
      </c>
      <c r="M56" s="224">
        <f t="shared" si="5"/>
        <v>59.141199999999998</v>
      </c>
      <c r="N56" s="224">
        <f t="shared" si="5"/>
        <v>689869383.00000012</v>
      </c>
      <c r="O56" s="224">
        <f t="shared" si="5"/>
        <v>76229888</v>
      </c>
      <c r="P56" s="224">
        <f t="shared" si="5"/>
        <v>274357.64</v>
      </c>
      <c r="Q56" s="224">
        <f t="shared" si="5"/>
        <v>75955530.359999999</v>
      </c>
      <c r="R56" s="224">
        <f t="shared" si="5"/>
        <v>54009131.040000007</v>
      </c>
      <c r="S56" s="224">
        <f t="shared" si="5"/>
        <v>552976537.28999996</v>
      </c>
      <c r="T56" s="224">
        <f t="shared" si="5"/>
        <v>13807159.68</v>
      </c>
      <c r="U56" s="224">
        <f t="shared" si="5"/>
        <v>31101749.099999998</v>
      </c>
      <c r="V56" s="224">
        <f t="shared" si="5"/>
        <v>709694.4</v>
      </c>
      <c r="W56" s="224">
        <f t="shared" si="5"/>
        <v>1418429184.8699999</v>
      </c>
      <c r="X56" s="197"/>
      <c r="Y56" s="197"/>
      <c r="AA56" s="197"/>
    </row>
    <row r="57" spans="1:27" s="195" customFormat="1" ht="14.25" customHeight="1" outlineLevel="2">
      <c r="A57" s="199">
        <v>548</v>
      </c>
      <c r="B57" s="200" t="s">
        <v>26</v>
      </c>
      <c r="C57" s="200" t="s">
        <v>133</v>
      </c>
      <c r="D57" s="200" t="s">
        <v>134</v>
      </c>
      <c r="E57" s="200" t="s">
        <v>135</v>
      </c>
      <c r="F57" s="200" t="s">
        <v>136</v>
      </c>
      <c r="G57" s="203">
        <v>113184</v>
      </c>
      <c r="H57" s="203">
        <v>1351.54</v>
      </c>
      <c r="I57" s="203">
        <v>150.47999999999999</v>
      </c>
      <c r="J57" s="203">
        <v>25036.7287</v>
      </c>
      <c r="K57" s="203">
        <v>802.25710000000004</v>
      </c>
      <c r="L57" s="203">
        <v>612.93159999999966</v>
      </c>
      <c r="M57" s="203">
        <v>158.67240000000004</v>
      </c>
      <c r="N57" s="203">
        <v>152972703.36000001</v>
      </c>
      <c r="O57" s="203">
        <v>17031928.32</v>
      </c>
      <c r="P57" s="203">
        <v>61527.43</v>
      </c>
      <c r="Q57" s="203">
        <v>16970400.890000001</v>
      </c>
      <c r="R57" s="203">
        <v>12535540.48</v>
      </c>
      <c r="S57" s="203">
        <v>209056684.65000001</v>
      </c>
      <c r="T57" s="203">
        <v>7701668.1600000001</v>
      </c>
      <c r="U57" s="203">
        <v>5516384.4000000004</v>
      </c>
      <c r="V57" s="203">
        <v>1904068.8</v>
      </c>
      <c r="W57" s="203">
        <f t="shared" si="3"/>
        <v>406657450.74000001</v>
      </c>
      <c r="X57" s="197"/>
      <c r="Y57" s="197"/>
      <c r="AA57" s="197"/>
    </row>
    <row r="58" spans="1:27" s="195" customFormat="1" ht="14.25" customHeight="1" outlineLevel="2">
      <c r="A58" s="199">
        <v>549</v>
      </c>
      <c r="B58" s="200" t="s">
        <v>26</v>
      </c>
      <c r="C58" s="200" t="s">
        <v>133</v>
      </c>
      <c r="D58" s="200" t="s">
        <v>134</v>
      </c>
      <c r="E58" s="200" t="s">
        <v>137</v>
      </c>
      <c r="F58" s="200" t="s">
        <v>138</v>
      </c>
      <c r="G58" s="203">
        <v>59426</v>
      </c>
      <c r="H58" s="203">
        <v>1351.54</v>
      </c>
      <c r="I58" s="203">
        <v>150.47999999999999</v>
      </c>
      <c r="J58" s="203">
        <v>4158.5572000000002</v>
      </c>
      <c r="K58" s="203">
        <v>72.887799999999999</v>
      </c>
      <c r="L58" s="203">
        <v>0</v>
      </c>
      <c r="M58" s="203">
        <v>0</v>
      </c>
      <c r="N58" s="203">
        <v>80316616.040000007</v>
      </c>
      <c r="O58" s="203">
        <v>8942424.4800000004</v>
      </c>
      <c r="P58" s="203">
        <v>32304.29</v>
      </c>
      <c r="Q58" s="203">
        <v>8910120.1899999995</v>
      </c>
      <c r="R58" s="203">
        <v>7463662.04</v>
      </c>
      <c r="S58" s="203">
        <v>34723952.619999997</v>
      </c>
      <c r="T58" s="203">
        <v>699722.88</v>
      </c>
      <c r="U58" s="203">
        <v>0</v>
      </c>
      <c r="V58" s="203">
        <v>0</v>
      </c>
      <c r="W58" s="203">
        <f t="shared" si="3"/>
        <v>132114073.77000001</v>
      </c>
      <c r="X58" s="197"/>
      <c r="Y58" s="197"/>
      <c r="AA58" s="197"/>
    </row>
    <row r="59" spans="1:27" s="195" customFormat="1" ht="14.25" customHeight="1" outlineLevel="2">
      <c r="A59" s="199">
        <v>550</v>
      </c>
      <c r="B59" s="200" t="s">
        <v>26</v>
      </c>
      <c r="C59" s="200" t="s">
        <v>133</v>
      </c>
      <c r="D59" s="200" t="s">
        <v>134</v>
      </c>
      <c r="E59" s="200" t="s">
        <v>139</v>
      </c>
      <c r="F59" s="200" t="s">
        <v>140</v>
      </c>
      <c r="G59" s="203">
        <v>23573</v>
      </c>
      <c r="H59" s="203">
        <v>1351.54</v>
      </c>
      <c r="I59" s="203">
        <v>150.47999999999999</v>
      </c>
      <c r="J59" s="203">
        <v>1035.9312</v>
      </c>
      <c r="K59" s="203">
        <v>31.698699999999999</v>
      </c>
      <c r="L59" s="203">
        <v>0</v>
      </c>
      <c r="M59" s="203">
        <v>0</v>
      </c>
      <c r="N59" s="203">
        <v>31859852.420000002</v>
      </c>
      <c r="O59" s="203">
        <v>3547265.04</v>
      </c>
      <c r="P59" s="203">
        <v>12814.41</v>
      </c>
      <c r="Q59" s="203">
        <v>3534450.63</v>
      </c>
      <c r="R59" s="203">
        <v>2889293.19</v>
      </c>
      <c r="S59" s="203">
        <v>8650025.5199999996</v>
      </c>
      <c r="T59" s="203">
        <v>304307.52</v>
      </c>
      <c r="U59" s="203">
        <v>0</v>
      </c>
      <c r="V59" s="203">
        <v>0</v>
      </c>
      <c r="W59" s="203">
        <f t="shared" si="3"/>
        <v>47237929.280000009</v>
      </c>
      <c r="X59" s="197"/>
      <c r="Y59" s="197"/>
      <c r="AA59" s="197"/>
    </row>
    <row r="60" spans="1:27" s="195" customFormat="1" ht="14.25" customHeight="1" outlineLevel="2">
      <c r="A60" s="199">
        <v>551</v>
      </c>
      <c r="B60" s="200" t="s">
        <v>26</v>
      </c>
      <c r="C60" s="200" t="s">
        <v>133</v>
      </c>
      <c r="D60" s="200" t="s">
        <v>134</v>
      </c>
      <c r="E60" s="200" t="s">
        <v>141</v>
      </c>
      <c r="F60" s="200" t="s">
        <v>142</v>
      </c>
      <c r="G60" s="203">
        <v>20766</v>
      </c>
      <c r="H60" s="203">
        <v>1351.54</v>
      </c>
      <c r="I60" s="203">
        <v>150.47999999999999</v>
      </c>
      <c r="J60" s="203">
        <v>1600.0196000000001</v>
      </c>
      <c r="K60" s="203">
        <v>32.459099999999999</v>
      </c>
      <c r="L60" s="203">
        <v>0</v>
      </c>
      <c r="M60" s="203">
        <v>0</v>
      </c>
      <c r="N60" s="203">
        <v>28066079.640000001</v>
      </c>
      <c r="O60" s="203">
        <v>3124867.68</v>
      </c>
      <c r="P60" s="203">
        <v>11288.51</v>
      </c>
      <c r="Q60" s="203">
        <v>3113579.17</v>
      </c>
      <c r="R60" s="203">
        <v>3607748.61</v>
      </c>
      <c r="S60" s="203">
        <v>13360163.66</v>
      </c>
      <c r="T60" s="203">
        <v>311607.36</v>
      </c>
      <c r="U60" s="203">
        <v>0</v>
      </c>
      <c r="V60" s="203">
        <v>0</v>
      </c>
      <c r="W60" s="203">
        <f t="shared" si="3"/>
        <v>48459178.439999998</v>
      </c>
      <c r="X60" s="197"/>
      <c r="Y60" s="197"/>
      <c r="AA60" s="197"/>
    </row>
    <row r="61" spans="1:27" s="195" customFormat="1" ht="14.25" customHeight="1" outlineLevel="2">
      <c r="A61" s="199">
        <v>552</v>
      </c>
      <c r="B61" s="200" t="s">
        <v>26</v>
      </c>
      <c r="C61" s="200" t="s">
        <v>133</v>
      </c>
      <c r="D61" s="200" t="s">
        <v>134</v>
      </c>
      <c r="E61" s="200" t="s">
        <v>143</v>
      </c>
      <c r="F61" s="200" t="s">
        <v>144</v>
      </c>
      <c r="G61" s="203">
        <v>63797</v>
      </c>
      <c r="H61" s="203">
        <v>1351.54</v>
      </c>
      <c r="I61" s="203">
        <v>150.47999999999999</v>
      </c>
      <c r="J61" s="203">
        <v>15479.2256</v>
      </c>
      <c r="K61" s="203">
        <v>185.00049999999999</v>
      </c>
      <c r="L61" s="203">
        <v>246.59649999999996</v>
      </c>
      <c r="M61" s="203">
        <v>25.874000000000002</v>
      </c>
      <c r="N61" s="203">
        <v>86224197.379999995</v>
      </c>
      <c r="O61" s="203">
        <v>9600172.5600000005</v>
      </c>
      <c r="P61" s="203">
        <v>34680.39</v>
      </c>
      <c r="Q61" s="203">
        <v>9565492.1699999999</v>
      </c>
      <c r="R61" s="203">
        <v>7283224.6699999999</v>
      </c>
      <c r="S61" s="203">
        <v>129251533.76000001</v>
      </c>
      <c r="T61" s="203">
        <v>1776004.8</v>
      </c>
      <c r="U61" s="203">
        <v>2219368.5</v>
      </c>
      <c r="V61" s="203">
        <v>310488</v>
      </c>
      <c r="W61" s="203">
        <f t="shared" si="3"/>
        <v>236630309.28000003</v>
      </c>
      <c r="X61" s="197"/>
      <c r="Y61" s="197"/>
      <c r="AA61" s="197"/>
    </row>
    <row r="62" spans="1:27" s="195" customFormat="1" ht="14.25" customHeight="1" outlineLevel="2">
      <c r="A62" s="199">
        <v>553</v>
      </c>
      <c r="B62" s="200" t="s">
        <v>26</v>
      </c>
      <c r="C62" s="200" t="s">
        <v>133</v>
      </c>
      <c r="D62" s="200" t="s">
        <v>134</v>
      </c>
      <c r="E62" s="200" t="s">
        <v>145</v>
      </c>
      <c r="F62" s="200" t="s">
        <v>146</v>
      </c>
      <c r="G62" s="203">
        <v>20286</v>
      </c>
      <c r="H62" s="203">
        <v>1351.54</v>
      </c>
      <c r="I62" s="203">
        <v>150.47999999999999</v>
      </c>
      <c r="J62" s="203">
        <v>764.00919999999996</v>
      </c>
      <c r="K62" s="203">
        <v>14.5219</v>
      </c>
      <c r="L62" s="203">
        <v>0</v>
      </c>
      <c r="M62" s="203">
        <v>0</v>
      </c>
      <c r="N62" s="203">
        <v>27417340.440000001</v>
      </c>
      <c r="O62" s="203">
        <v>3052637.28</v>
      </c>
      <c r="P62" s="203">
        <v>11027.58</v>
      </c>
      <c r="Q62" s="203">
        <v>3041609.7</v>
      </c>
      <c r="R62" s="203">
        <v>2575673.46</v>
      </c>
      <c r="S62" s="203">
        <v>6379476.8200000003</v>
      </c>
      <c r="T62" s="203">
        <v>139410.23999999999</v>
      </c>
      <c r="U62" s="203">
        <v>0</v>
      </c>
      <c r="V62" s="203">
        <v>0</v>
      </c>
      <c r="W62" s="203">
        <f t="shared" si="3"/>
        <v>39553510.660000004</v>
      </c>
      <c r="X62" s="197"/>
      <c r="Y62" s="197"/>
      <c r="AA62" s="197"/>
    </row>
    <row r="63" spans="1:27" s="195" customFormat="1" ht="14.25" customHeight="1" outlineLevel="2">
      <c r="A63" s="199">
        <v>554</v>
      </c>
      <c r="B63" s="200" t="s">
        <v>26</v>
      </c>
      <c r="C63" s="200" t="s">
        <v>133</v>
      </c>
      <c r="D63" s="200" t="s">
        <v>134</v>
      </c>
      <c r="E63" s="200" t="s">
        <v>147</v>
      </c>
      <c r="F63" s="200" t="s">
        <v>148</v>
      </c>
      <c r="G63" s="203">
        <v>12008</v>
      </c>
      <c r="H63" s="203">
        <v>1351.54</v>
      </c>
      <c r="I63" s="203">
        <v>150.47999999999999</v>
      </c>
      <c r="J63" s="203">
        <v>747.43359999999996</v>
      </c>
      <c r="K63" s="203">
        <v>16.221900000000002</v>
      </c>
      <c r="L63" s="203">
        <v>0</v>
      </c>
      <c r="M63" s="203">
        <v>0</v>
      </c>
      <c r="N63" s="203">
        <v>16229292.32</v>
      </c>
      <c r="O63" s="203">
        <v>1806963.84</v>
      </c>
      <c r="P63" s="203">
        <v>6527.61</v>
      </c>
      <c r="Q63" s="203">
        <v>1800436.23</v>
      </c>
      <c r="R63" s="203">
        <v>1408220.98</v>
      </c>
      <c r="S63" s="203">
        <v>6241070.5599999996</v>
      </c>
      <c r="T63" s="203">
        <v>155730.23999999999</v>
      </c>
      <c r="U63" s="203">
        <v>0</v>
      </c>
      <c r="V63" s="203">
        <v>0</v>
      </c>
      <c r="W63" s="203">
        <f t="shared" si="3"/>
        <v>25834750.329999998</v>
      </c>
      <c r="X63" s="197"/>
      <c r="Y63" s="197"/>
      <c r="AA63" s="197"/>
    </row>
    <row r="64" spans="1:27" s="195" customFormat="1" ht="14.25" customHeight="1" outlineLevel="2">
      <c r="A64" s="199">
        <v>555</v>
      </c>
      <c r="B64" s="200" t="s">
        <v>26</v>
      </c>
      <c r="C64" s="200" t="s">
        <v>133</v>
      </c>
      <c r="D64" s="200" t="s">
        <v>134</v>
      </c>
      <c r="E64" s="200" t="s">
        <v>149</v>
      </c>
      <c r="F64" s="200" t="s">
        <v>150</v>
      </c>
      <c r="G64" s="203">
        <v>36674</v>
      </c>
      <c r="H64" s="203">
        <v>1351.54</v>
      </c>
      <c r="I64" s="203">
        <v>150.47999999999999</v>
      </c>
      <c r="J64" s="203">
        <v>1199.5108</v>
      </c>
      <c r="K64" s="203">
        <v>26.208500000000001</v>
      </c>
      <c r="L64" s="203">
        <v>0</v>
      </c>
      <c r="M64" s="203">
        <v>0</v>
      </c>
      <c r="N64" s="203">
        <v>49566377.960000001</v>
      </c>
      <c r="O64" s="203">
        <v>5518703.5199999996</v>
      </c>
      <c r="P64" s="203">
        <v>19936.18</v>
      </c>
      <c r="Q64" s="203">
        <v>5498767.3399999999</v>
      </c>
      <c r="R64" s="203">
        <v>4256052.07</v>
      </c>
      <c r="S64" s="203">
        <v>10015915.18</v>
      </c>
      <c r="T64" s="203">
        <v>251601.6</v>
      </c>
      <c r="U64" s="203">
        <v>0</v>
      </c>
      <c r="V64" s="203">
        <v>0</v>
      </c>
      <c r="W64" s="203">
        <f t="shared" si="3"/>
        <v>69588714.149999991</v>
      </c>
      <c r="X64" s="197"/>
      <c r="Y64" s="197"/>
      <c r="AA64" s="197"/>
    </row>
    <row r="65" spans="1:27" s="195" customFormat="1" ht="14.25" customHeight="1" outlineLevel="2">
      <c r="A65" s="199">
        <v>556</v>
      </c>
      <c r="B65" s="200" t="s">
        <v>26</v>
      </c>
      <c r="C65" s="200" t="s">
        <v>133</v>
      </c>
      <c r="D65" s="200" t="s">
        <v>134</v>
      </c>
      <c r="E65" s="200" t="s">
        <v>151</v>
      </c>
      <c r="F65" s="200" t="s">
        <v>152</v>
      </c>
      <c r="G65" s="203">
        <v>29211</v>
      </c>
      <c r="H65" s="203">
        <v>1351.54</v>
      </c>
      <c r="I65" s="203">
        <v>150.47999999999999</v>
      </c>
      <c r="J65" s="203">
        <v>756.48389999999995</v>
      </c>
      <c r="K65" s="203">
        <v>16.392700000000001</v>
      </c>
      <c r="L65" s="203">
        <v>0</v>
      </c>
      <c r="M65" s="203">
        <v>0</v>
      </c>
      <c r="N65" s="203">
        <v>39479834.939999998</v>
      </c>
      <c r="O65" s="203">
        <v>4395671.28</v>
      </c>
      <c r="P65" s="203">
        <v>15879.26</v>
      </c>
      <c r="Q65" s="203">
        <v>4379792.0199999996</v>
      </c>
      <c r="R65" s="203">
        <v>3776480.52</v>
      </c>
      <c r="S65" s="203">
        <v>6316640.5700000003</v>
      </c>
      <c r="T65" s="203">
        <v>157369.92000000001</v>
      </c>
      <c r="U65" s="203">
        <v>0</v>
      </c>
      <c r="V65" s="203">
        <v>0</v>
      </c>
      <c r="W65" s="203">
        <f t="shared" si="3"/>
        <v>54110117.969999999</v>
      </c>
      <c r="X65" s="197"/>
      <c r="Y65" s="197"/>
      <c r="AA65" s="197"/>
    </row>
    <row r="66" spans="1:27" s="195" customFormat="1" ht="14.25" customHeight="1" outlineLevel="1">
      <c r="A66" s="221"/>
      <c r="B66" s="222"/>
      <c r="C66" s="222"/>
      <c r="D66" s="223" t="s">
        <v>267</v>
      </c>
      <c r="E66" s="222"/>
      <c r="F66" s="222"/>
      <c r="G66" s="224">
        <f>SUBTOTAL(9,G57:G65)</f>
        <v>378925</v>
      </c>
      <c r="H66" s="224"/>
      <c r="I66" s="224"/>
      <c r="J66" s="224">
        <f t="shared" ref="J66:W66" si="6">SUBTOTAL(9,J57:J65)</f>
        <v>50777.899799999992</v>
      </c>
      <c r="K66" s="224">
        <f t="shared" si="6"/>
        <v>1197.6482000000001</v>
      </c>
      <c r="L66" s="224">
        <f t="shared" si="6"/>
        <v>859.52809999999965</v>
      </c>
      <c r="M66" s="224">
        <f t="shared" si="6"/>
        <v>184.54640000000003</v>
      </c>
      <c r="N66" s="224">
        <f t="shared" si="6"/>
        <v>512132294.5</v>
      </c>
      <c r="O66" s="224">
        <f t="shared" si="6"/>
        <v>57020634</v>
      </c>
      <c r="P66" s="224">
        <f t="shared" si="6"/>
        <v>205985.65999999997</v>
      </c>
      <c r="Q66" s="224">
        <f t="shared" si="6"/>
        <v>56814648.339999989</v>
      </c>
      <c r="R66" s="224">
        <f t="shared" si="6"/>
        <v>45795896.020000003</v>
      </c>
      <c r="S66" s="224">
        <f t="shared" si="6"/>
        <v>423995463.34000003</v>
      </c>
      <c r="T66" s="224">
        <f t="shared" si="6"/>
        <v>11497422.720000001</v>
      </c>
      <c r="U66" s="224">
        <f t="shared" si="6"/>
        <v>7735752.9000000004</v>
      </c>
      <c r="V66" s="224">
        <f t="shared" si="6"/>
        <v>2214556.7999999998</v>
      </c>
      <c r="W66" s="224">
        <f t="shared" si="6"/>
        <v>1060186034.62</v>
      </c>
      <c r="X66" s="197"/>
      <c r="Y66" s="197"/>
      <c r="AA66" s="197"/>
    </row>
    <row r="67" spans="1:27" s="195" customFormat="1" ht="14.25" customHeight="1" outlineLevel="2">
      <c r="A67" s="199">
        <v>557</v>
      </c>
      <c r="B67" s="200" t="s">
        <v>26</v>
      </c>
      <c r="C67" s="200" t="s">
        <v>153</v>
      </c>
      <c r="D67" s="200" t="s">
        <v>154</v>
      </c>
      <c r="E67" s="200" t="s">
        <v>155</v>
      </c>
      <c r="F67" s="200" t="s">
        <v>156</v>
      </c>
      <c r="G67" s="203">
        <v>144189</v>
      </c>
      <c r="H67" s="203">
        <v>1300.8600000000001</v>
      </c>
      <c r="I67" s="203">
        <v>149.19999999999999</v>
      </c>
      <c r="J67" s="203">
        <v>64935.822200000002</v>
      </c>
      <c r="K67" s="203">
        <v>1697.0589</v>
      </c>
      <c r="L67" s="203">
        <v>2832.3826000000004</v>
      </c>
      <c r="M67" s="203">
        <v>456.93419999999998</v>
      </c>
      <c r="N67" s="203">
        <v>187569702.53999999</v>
      </c>
      <c r="O67" s="203">
        <v>21512998.800000001</v>
      </c>
      <c r="P67" s="203">
        <v>78381.919999999998</v>
      </c>
      <c r="Q67" s="203">
        <v>21434616.879999999</v>
      </c>
      <c r="R67" s="203">
        <v>12293960.58</v>
      </c>
      <c r="S67" s="203">
        <v>542214115.37</v>
      </c>
      <c r="T67" s="203">
        <v>16291765.439999999</v>
      </c>
      <c r="U67" s="203">
        <v>25491443.399999999</v>
      </c>
      <c r="V67" s="203">
        <v>5483210.4000000004</v>
      </c>
      <c r="W67" s="203">
        <f t="shared" si="3"/>
        <v>810778814.61000001</v>
      </c>
      <c r="X67" s="197"/>
      <c r="Y67" s="197"/>
      <c r="AA67" s="197"/>
    </row>
    <row r="68" spans="1:27" s="195" customFormat="1" ht="14.25" customHeight="1" outlineLevel="2">
      <c r="A68" s="199">
        <v>558</v>
      </c>
      <c r="B68" s="200" t="s">
        <v>26</v>
      </c>
      <c r="C68" s="200" t="s">
        <v>153</v>
      </c>
      <c r="D68" s="200" t="s">
        <v>154</v>
      </c>
      <c r="E68" s="200" t="s">
        <v>157</v>
      </c>
      <c r="F68" s="200" t="s">
        <v>158</v>
      </c>
      <c r="G68" s="203">
        <v>36206</v>
      </c>
      <c r="H68" s="203">
        <v>1300.8600000000001</v>
      </c>
      <c r="I68" s="203">
        <v>149.19999999999999</v>
      </c>
      <c r="J68" s="203">
        <v>1801.1591000000001</v>
      </c>
      <c r="K68" s="203">
        <v>37.211599999999997</v>
      </c>
      <c r="L68" s="203">
        <v>0</v>
      </c>
      <c r="M68" s="203">
        <v>0</v>
      </c>
      <c r="N68" s="203">
        <v>47098937.159999996</v>
      </c>
      <c r="O68" s="203">
        <v>5401935.2000000002</v>
      </c>
      <c r="P68" s="203">
        <v>19681.78</v>
      </c>
      <c r="Q68" s="203">
        <v>5382253.4199999999</v>
      </c>
      <c r="R68" s="203">
        <v>3050712.82</v>
      </c>
      <c r="S68" s="203">
        <v>15039678.49</v>
      </c>
      <c r="T68" s="203">
        <v>357231.35999999999</v>
      </c>
      <c r="U68" s="203">
        <v>0</v>
      </c>
      <c r="V68" s="203">
        <v>0</v>
      </c>
      <c r="W68" s="203">
        <f t="shared" si="3"/>
        <v>70928813.25</v>
      </c>
      <c r="X68" s="197"/>
      <c r="Y68" s="197"/>
      <c r="AA68" s="197"/>
    </row>
    <row r="69" spans="1:27" s="195" customFormat="1" ht="14.25" customHeight="1" outlineLevel="2">
      <c r="A69" s="199">
        <v>559</v>
      </c>
      <c r="B69" s="200" t="s">
        <v>26</v>
      </c>
      <c r="C69" s="200" t="s">
        <v>153</v>
      </c>
      <c r="D69" s="200" t="s">
        <v>154</v>
      </c>
      <c r="E69" s="200" t="s">
        <v>159</v>
      </c>
      <c r="F69" s="200" t="s">
        <v>160</v>
      </c>
      <c r="G69" s="203">
        <v>24217</v>
      </c>
      <c r="H69" s="203">
        <v>1300.8600000000001</v>
      </c>
      <c r="I69" s="203">
        <v>149.19999999999999</v>
      </c>
      <c r="J69" s="203">
        <v>1380.0408</v>
      </c>
      <c r="K69" s="203">
        <v>11.3102</v>
      </c>
      <c r="L69" s="203">
        <v>0</v>
      </c>
      <c r="M69" s="203">
        <v>0</v>
      </c>
      <c r="N69" s="203">
        <v>31502926.620000001</v>
      </c>
      <c r="O69" s="203">
        <v>3613176.4</v>
      </c>
      <c r="P69" s="203">
        <v>13164.49</v>
      </c>
      <c r="Q69" s="203">
        <v>3600011.91</v>
      </c>
      <c r="R69" s="203">
        <v>2220261.9</v>
      </c>
      <c r="S69" s="203">
        <v>11523340.68</v>
      </c>
      <c r="T69" s="203">
        <v>108577.92</v>
      </c>
      <c r="U69" s="203">
        <v>0</v>
      </c>
      <c r="V69" s="203">
        <v>0</v>
      </c>
      <c r="W69" s="203">
        <f t="shared" si="3"/>
        <v>48955119.030000001</v>
      </c>
      <c r="X69" s="197"/>
      <c r="Y69" s="197"/>
      <c r="AA69" s="197"/>
    </row>
    <row r="70" spans="1:27" s="195" customFormat="1" ht="14.25" customHeight="1" outlineLevel="2">
      <c r="A70" s="199">
        <v>560</v>
      </c>
      <c r="B70" s="200" t="s">
        <v>26</v>
      </c>
      <c r="C70" s="200" t="s">
        <v>153</v>
      </c>
      <c r="D70" s="200" t="s">
        <v>154</v>
      </c>
      <c r="E70" s="200" t="s">
        <v>161</v>
      </c>
      <c r="F70" s="200" t="s">
        <v>162</v>
      </c>
      <c r="G70" s="203">
        <v>55403</v>
      </c>
      <c r="H70" s="203">
        <v>1300.8600000000001</v>
      </c>
      <c r="I70" s="203">
        <v>149.19999999999999</v>
      </c>
      <c r="J70" s="203">
        <v>3467.9058</v>
      </c>
      <c r="K70" s="203">
        <v>60.6571</v>
      </c>
      <c r="L70" s="203">
        <v>0</v>
      </c>
      <c r="M70" s="203">
        <v>0</v>
      </c>
      <c r="N70" s="203">
        <v>72071546.579999998</v>
      </c>
      <c r="O70" s="203">
        <v>8266127.5999999996</v>
      </c>
      <c r="P70" s="203">
        <v>30117.37</v>
      </c>
      <c r="Q70" s="203">
        <v>8236010.2300000004</v>
      </c>
      <c r="R70" s="203">
        <v>2909943.42</v>
      </c>
      <c r="S70" s="203">
        <v>28957013.43</v>
      </c>
      <c r="T70" s="203">
        <v>582308.16</v>
      </c>
      <c r="U70" s="203">
        <v>0</v>
      </c>
      <c r="V70" s="203">
        <v>0</v>
      </c>
      <c r="W70" s="203">
        <f t="shared" si="3"/>
        <v>112756821.81999999</v>
      </c>
      <c r="X70" s="197"/>
      <c r="Y70" s="197"/>
      <c r="AA70" s="197"/>
    </row>
    <row r="71" spans="1:27" s="195" customFormat="1" ht="14.25" customHeight="1" outlineLevel="2">
      <c r="A71" s="199">
        <v>561</v>
      </c>
      <c r="B71" s="200" t="s">
        <v>26</v>
      </c>
      <c r="C71" s="200" t="s">
        <v>153</v>
      </c>
      <c r="D71" s="200" t="s">
        <v>154</v>
      </c>
      <c r="E71" s="200" t="s">
        <v>163</v>
      </c>
      <c r="F71" s="200" t="s">
        <v>164</v>
      </c>
      <c r="G71" s="203">
        <v>39258</v>
      </c>
      <c r="H71" s="203">
        <v>1300.8600000000001</v>
      </c>
      <c r="I71" s="203">
        <v>149.19999999999999</v>
      </c>
      <c r="J71" s="203">
        <v>3996.7566000000002</v>
      </c>
      <c r="K71" s="203">
        <v>116.1169</v>
      </c>
      <c r="L71" s="203">
        <v>0</v>
      </c>
      <c r="M71" s="203">
        <v>0</v>
      </c>
      <c r="N71" s="203">
        <v>51069161.880000003</v>
      </c>
      <c r="O71" s="203">
        <v>5857293.5999999996</v>
      </c>
      <c r="P71" s="203">
        <v>21340.86</v>
      </c>
      <c r="Q71" s="203">
        <v>5835952.7400000002</v>
      </c>
      <c r="R71" s="203">
        <v>4641304.3099999996</v>
      </c>
      <c r="S71" s="203">
        <v>33372917.609999999</v>
      </c>
      <c r="T71" s="203">
        <v>1114722.24</v>
      </c>
      <c r="U71" s="203">
        <v>0</v>
      </c>
      <c r="V71" s="203">
        <v>0</v>
      </c>
      <c r="W71" s="203">
        <f t="shared" si="3"/>
        <v>96034058.780000001</v>
      </c>
      <c r="X71" s="197"/>
      <c r="Y71" s="197"/>
      <c r="AA71" s="197"/>
    </row>
    <row r="72" spans="1:27" s="195" customFormat="1" ht="14.25" customHeight="1" outlineLevel="2">
      <c r="A72" s="199">
        <v>562</v>
      </c>
      <c r="B72" s="200" t="s">
        <v>26</v>
      </c>
      <c r="C72" s="200" t="s">
        <v>153</v>
      </c>
      <c r="D72" s="200" t="s">
        <v>154</v>
      </c>
      <c r="E72" s="200" t="s">
        <v>165</v>
      </c>
      <c r="F72" s="200" t="s">
        <v>166</v>
      </c>
      <c r="G72" s="203">
        <v>37876</v>
      </c>
      <c r="H72" s="203">
        <v>1300.8600000000001</v>
      </c>
      <c r="I72" s="203">
        <v>149.19999999999999</v>
      </c>
      <c r="J72" s="203">
        <v>1312.8268</v>
      </c>
      <c r="K72" s="203">
        <v>20.333600000000001</v>
      </c>
      <c r="L72" s="203">
        <v>0</v>
      </c>
      <c r="M72" s="203">
        <v>0</v>
      </c>
      <c r="N72" s="203">
        <v>49271373.359999999</v>
      </c>
      <c r="O72" s="203">
        <v>5651099.2000000002</v>
      </c>
      <c r="P72" s="203">
        <v>20589.599999999999</v>
      </c>
      <c r="Q72" s="203">
        <v>5630509.5999999996</v>
      </c>
      <c r="R72" s="203">
        <v>4679511.12</v>
      </c>
      <c r="S72" s="203">
        <v>10962103.779999999</v>
      </c>
      <c r="T72" s="203">
        <v>195202.56</v>
      </c>
      <c r="U72" s="203">
        <v>0</v>
      </c>
      <c r="V72" s="203">
        <v>0</v>
      </c>
      <c r="W72" s="203">
        <f t="shared" si="3"/>
        <v>70738700.420000002</v>
      </c>
      <c r="X72" s="197"/>
      <c r="Y72" s="197"/>
      <c r="AA72" s="197"/>
    </row>
    <row r="73" spans="1:27" s="195" customFormat="1" ht="14.25" customHeight="1" outlineLevel="2">
      <c r="A73" s="199">
        <v>563</v>
      </c>
      <c r="B73" s="200" t="s">
        <v>26</v>
      </c>
      <c r="C73" s="200" t="s">
        <v>153</v>
      </c>
      <c r="D73" s="200" t="s">
        <v>154</v>
      </c>
      <c r="E73" s="200" t="s">
        <v>167</v>
      </c>
      <c r="F73" s="200" t="s">
        <v>168</v>
      </c>
      <c r="G73" s="203">
        <v>10823</v>
      </c>
      <c r="H73" s="203">
        <v>1300.8600000000001</v>
      </c>
      <c r="I73" s="203">
        <v>149.19999999999999</v>
      </c>
      <c r="J73" s="203">
        <v>416.00130000000001</v>
      </c>
      <c r="K73" s="203">
        <v>6.5098000000000003</v>
      </c>
      <c r="L73" s="203">
        <v>0</v>
      </c>
      <c r="M73" s="203">
        <v>0</v>
      </c>
      <c r="N73" s="203">
        <v>14079207.779999999</v>
      </c>
      <c r="O73" s="203">
        <v>1614791.6</v>
      </c>
      <c r="P73" s="203">
        <v>5883.44</v>
      </c>
      <c r="Q73" s="203">
        <v>1608908.16</v>
      </c>
      <c r="R73" s="203">
        <v>943956.07</v>
      </c>
      <c r="S73" s="203">
        <v>3473610.86</v>
      </c>
      <c r="T73" s="203">
        <v>62494.080000000002</v>
      </c>
      <c r="U73" s="203">
        <v>0</v>
      </c>
      <c r="V73" s="203">
        <v>0</v>
      </c>
      <c r="W73" s="203">
        <f t="shared" si="3"/>
        <v>20168176.949999999</v>
      </c>
      <c r="X73" s="197"/>
      <c r="Y73" s="197"/>
      <c r="AA73" s="197"/>
    </row>
    <row r="74" spans="1:27" s="195" customFormat="1" ht="14.25" customHeight="1" outlineLevel="2">
      <c r="A74" s="199">
        <v>564</v>
      </c>
      <c r="B74" s="200" t="s">
        <v>26</v>
      </c>
      <c r="C74" s="200" t="s">
        <v>153</v>
      </c>
      <c r="D74" s="200" t="s">
        <v>154</v>
      </c>
      <c r="E74" s="200" t="s">
        <v>169</v>
      </c>
      <c r="F74" s="200" t="s">
        <v>170</v>
      </c>
      <c r="G74" s="203">
        <v>93034</v>
      </c>
      <c r="H74" s="203">
        <v>1300.8600000000001</v>
      </c>
      <c r="I74" s="203">
        <v>149.19999999999999</v>
      </c>
      <c r="J74" s="203">
        <v>10181.222100000001</v>
      </c>
      <c r="K74" s="203">
        <v>190.64879999999999</v>
      </c>
      <c r="L74" s="203">
        <v>236.45719999999997</v>
      </c>
      <c r="M74" s="203">
        <v>0</v>
      </c>
      <c r="N74" s="203">
        <v>121024209.23999999</v>
      </c>
      <c r="O74" s="203">
        <v>13880672.800000001</v>
      </c>
      <c r="P74" s="203">
        <v>50573.78</v>
      </c>
      <c r="Q74" s="203">
        <v>13830099.02</v>
      </c>
      <c r="R74" s="203">
        <v>10218460.42</v>
      </c>
      <c r="S74" s="203">
        <v>85013204.540000007</v>
      </c>
      <c r="T74" s="203">
        <v>1830228.48</v>
      </c>
      <c r="U74" s="203">
        <v>2128114.7999999998</v>
      </c>
      <c r="V74" s="203">
        <v>0</v>
      </c>
      <c r="W74" s="203">
        <f t="shared" si="3"/>
        <v>234044316.49999997</v>
      </c>
      <c r="X74" s="197"/>
      <c r="Y74" s="197"/>
      <c r="AA74" s="197"/>
    </row>
    <row r="75" spans="1:27" s="195" customFormat="1" ht="14.25" customHeight="1" outlineLevel="2">
      <c r="A75" s="199">
        <v>565</v>
      </c>
      <c r="B75" s="200" t="s">
        <v>26</v>
      </c>
      <c r="C75" s="200" t="s">
        <v>153</v>
      </c>
      <c r="D75" s="200" t="s">
        <v>154</v>
      </c>
      <c r="E75" s="200" t="s">
        <v>171</v>
      </c>
      <c r="F75" s="200" t="s">
        <v>172</v>
      </c>
      <c r="G75" s="203">
        <v>30839</v>
      </c>
      <c r="H75" s="203">
        <v>1300.8600000000001</v>
      </c>
      <c r="I75" s="203">
        <v>149.19999999999999</v>
      </c>
      <c r="J75" s="203">
        <v>1576.0279</v>
      </c>
      <c r="K75" s="203">
        <v>31.1203</v>
      </c>
      <c r="L75" s="203">
        <v>0</v>
      </c>
      <c r="M75" s="203">
        <v>0</v>
      </c>
      <c r="N75" s="203">
        <v>40117221.539999999</v>
      </c>
      <c r="O75" s="203">
        <v>4601178.8</v>
      </c>
      <c r="P75" s="203">
        <v>16764.25</v>
      </c>
      <c r="Q75" s="203">
        <v>4584414.55</v>
      </c>
      <c r="R75" s="203">
        <v>3028349.28</v>
      </c>
      <c r="S75" s="203">
        <v>13159832.970000001</v>
      </c>
      <c r="T75" s="203">
        <v>298754.88</v>
      </c>
      <c r="U75" s="203">
        <v>0</v>
      </c>
      <c r="V75" s="203">
        <v>0</v>
      </c>
      <c r="W75" s="203">
        <f t="shared" si="3"/>
        <v>61188573.219999999</v>
      </c>
      <c r="X75" s="197"/>
      <c r="Y75" s="197"/>
      <c r="AA75" s="197"/>
    </row>
    <row r="76" spans="1:27" s="195" customFormat="1" ht="14.25" customHeight="1" outlineLevel="2">
      <c r="A76" s="199">
        <v>566</v>
      </c>
      <c r="B76" s="200" t="s">
        <v>26</v>
      </c>
      <c r="C76" s="200" t="s">
        <v>153</v>
      </c>
      <c r="D76" s="200" t="s">
        <v>154</v>
      </c>
      <c r="E76" s="200" t="s">
        <v>173</v>
      </c>
      <c r="F76" s="200" t="s">
        <v>174</v>
      </c>
      <c r="G76" s="203">
        <v>53083</v>
      </c>
      <c r="H76" s="203">
        <v>1300.8600000000001</v>
      </c>
      <c r="I76" s="203">
        <v>149.19999999999999</v>
      </c>
      <c r="J76" s="203">
        <v>2978.4609</v>
      </c>
      <c r="K76" s="203">
        <v>78.653800000000004</v>
      </c>
      <c r="L76" s="203">
        <v>0</v>
      </c>
      <c r="M76" s="203">
        <v>0</v>
      </c>
      <c r="N76" s="203">
        <v>69053551.379999995</v>
      </c>
      <c r="O76" s="203">
        <v>7919983.5999999996</v>
      </c>
      <c r="P76" s="203">
        <v>28856.2</v>
      </c>
      <c r="Q76" s="203">
        <v>7891127.4000000004</v>
      </c>
      <c r="R76" s="203">
        <v>6789022.0899999999</v>
      </c>
      <c r="S76" s="203">
        <v>24870148.52</v>
      </c>
      <c r="T76" s="203">
        <v>755076.48</v>
      </c>
      <c r="U76" s="203">
        <v>0</v>
      </c>
      <c r="V76" s="203">
        <v>0</v>
      </c>
      <c r="W76" s="203">
        <f t="shared" si="3"/>
        <v>109358925.87</v>
      </c>
      <c r="X76" s="197"/>
      <c r="Y76" s="197"/>
      <c r="AA76" s="197"/>
    </row>
    <row r="77" spans="1:27" s="195" customFormat="1" ht="14.25" customHeight="1" outlineLevel="2">
      <c r="A77" s="199">
        <v>567</v>
      </c>
      <c r="B77" s="200" t="s">
        <v>26</v>
      </c>
      <c r="C77" s="200" t="s">
        <v>153</v>
      </c>
      <c r="D77" s="200" t="s">
        <v>154</v>
      </c>
      <c r="E77" s="200" t="s">
        <v>175</v>
      </c>
      <c r="F77" s="200" t="s">
        <v>176</v>
      </c>
      <c r="G77" s="203">
        <v>53634</v>
      </c>
      <c r="H77" s="203">
        <v>1300.8600000000001</v>
      </c>
      <c r="I77" s="203">
        <v>149.19999999999999</v>
      </c>
      <c r="J77" s="203">
        <v>4128.3132999999998</v>
      </c>
      <c r="K77" s="203">
        <v>50.147500000000001</v>
      </c>
      <c r="L77" s="203">
        <v>0</v>
      </c>
      <c r="M77" s="203">
        <v>0</v>
      </c>
      <c r="N77" s="203">
        <v>69770325.239999995</v>
      </c>
      <c r="O77" s="203">
        <v>8002192.7999999998</v>
      </c>
      <c r="P77" s="203">
        <v>29155.73</v>
      </c>
      <c r="Q77" s="203">
        <v>7973037.0700000003</v>
      </c>
      <c r="R77" s="203">
        <v>5539579.6699999999</v>
      </c>
      <c r="S77" s="203">
        <v>34471416.060000002</v>
      </c>
      <c r="T77" s="203">
        <v>481416</v>
      </c>
      <c r="U77" s="203">
        <v>0</v>
      </c>
      <c r="V77" s="203">
        <v>0</v>
      </c>
      <c r="W77" s="203">
        <f t="shared" si="3"/>
        <v>118235774.04000001</v>
      </c>
      <c r="X77" s="197"/>
      <c r="Y77" s="197"/>
      <c r="AA77" s="197"/>
    </row>
    <row r="78" spans="1:27" s="195" customFormat="1" ht="14.25" customHeight="1" outlineLevel="2">
      <c r="A78" s="199">
        <v>568</v>
      </c>
      <c r="B78" s="200" t="s">
        <v>26</v>
      </c>
      <c r="C78" s="200" t="s">
        <v>153</v>
      </c>
      <c r="D78" s="200" t="s">
        <v>154</v>
      </c>
      <c r="E78" s="200" t="s">
        <v>177</v>
      </c>
      <c r="F78" s="200" t="s">
        <v>178</v>
      </c>
      <c r="G78" s="203">
        <v>26653</v>
      </c>
      <c r="H78" s="203">
        <v>1300.8600000000001</v>
      </c>
      <c r="I78" s="203">
        <v>149.19999999999999</v>
      </c>
      <c r="J78" s="203">
        <v>1494.0741</v>
      </c>
      <c r="K78" s="203">
        <v>23.474</v>
      </c>
      <c r="L78" s="203">
        <v>0</v>
      </c>
      <c r="M78" s="203">
        <v>0</v>
      </c>
      <c r="N78" s="203">
        <v>34671821.579999998</v>
      </c>
      <c r="O78" s="203">
        <v>3976627.6</v>
      </c>
      <c r="P78" s="203">
        <v>14488.71</v>
      </c>
      <c r="Q78" s="203">
        <v>3962138.89</v>
      </c>
      <c r="R78" s="203">
        <v>2839300.1</v>
      </c>
      <c r="S78" s="203">
        <v>12475518.74</v>
      </c>
      <c r="T78" s="203">
        <v>225350.39999999999</v>
      </c>
      <c r="U78" s="203">
        <v>0</v>
      </c>
      <c r="V78" s="203">
        <v>0</v>
      </c>
      <c r="W78" s="203">
        <f t="shared" si="3"/>
        <v>54174129.710000001</v>
      </c>
      <c r="X78" s="197"/>
      <c r="Y78" s="197"/>
      <c r="AA78" s="197"/>
    </row>
    <row r="79" spans="1:27" s="195" customFormat="1" ht="14.25" customHeight="1" outlineLevel="2">
      <c r="A79" s="199">
        <v>569</v>
      </c>
      <c r="B79" s="200" t="s">
        <v>26</v>
      </c>
      <c r="C79" s="200" t="s">
        <v>153</v>
      </c>
      <c r="D79" s="200" t="s">
        <v>154</v>
      </c>
      <c r="E79" s="200" t="s">
        <v>179</v>
      </c>
      <c r="F79" s="200" t="s">
        <v>180</v>
      </c>
      <c r="G79" s="203">
        <v>17988</v>
      </c>
      <c r="H79" s="203">
        <v>1300.8600000000001</v>
      </c>
      <c r="I79" s="203">
        <v>149.19999999999999</v>
      </c>
      <c r="J79" s="203">
        <v>1129.8635999999999</v>
      </c>
      <c r="K79" s="203">
        <v>58.882899999999999</v>
      </c>
      <c r="L79" s="203">
        <v>0</v>
      </c>
      <c r="M79" s="203">
        <v>0</v>
      </c>
      <c r="N79" s="203">
        <v>23399869.68</v>
      </c>
      <c r="O79" s="203">
        <v>2683809.6</v>
      </c>
      <c r="P79" s="203">
        <v>9778.3700000000008</v>
      </c>
      <c r="Q79" s="203">
        <v>2674031.23</v>
      </c>
      <c r="R79" s="203">
        <v>2689770.19</v>
      </c>
      <c r="S79" s="203">
        <v>9434361.0600000005</v>
      </c>
      <c r="T79" s="203">
        <v>565275.84</v>
      </c>
      <c r="U79" s="203">
        <v>0</v>
      </c>
      <c r="V79" s="203">
        <v>0</v>
      </c>
      <c r="W79" s="203">
        <f t="shared" si="3"/>
        <v>38763308.000000007</v>
      </c>
      <c r="X79" s="197"/>
      <c r="Y79" s="197"/>
      <c r="AA79" s="197"/>
    </row>
    <row r="80" spans="1:27" s="195" customFormat="1" ht="14.25" customHeight="1" outlineLevel="2">
      <c r="A80" s="199">
        <v>570</v>
      </c>
      <c r="B80" s="200" t="s">
        <v>26</v>
      </c>
      <c r="C80" s="200" t="s">
        <v>153</v>
      </c>
      <c r="D80" s="200" t="s">
        <v>154</v>
      </c>
      <c r="E80" s="200" t="s">
        <v>181</v>
      </c>
      <c r="F80" s="200" t="s">
        <v>182</v>
      </c>
      <c r="G80" s="203">
        <v>24862</v>
      </c>
      <c r="H80" s="203">
        <v>1300.8600000000001</v>
      </c>
      <c r="I80" s="203">
        <v>149.19999999999999</v>
      </c>
      <c r="J80" s="203">
        <v>1659.4283</v>
      </c>
      <c r="K80" s="203">
        <v>32.650300000000001</v>
      </c>
      <c r="L80" s="203">
        <v>0</v>
      </c>
      <c r="M80" s="203">
        <v>0</v>
      </c>
      <c r="N80" s="203">
        <v>32341981.32</v>
      </c>
      <c r="O80" s="203">
        <v>3709410.4</v>
      </c>
      <c r="P80" s="203">
        <v>13515.12</v>
      </c>
      <c r="Q80" s="203">
        <v>3695895.28</v>
      </c>
      <c r="R80" s="203">
        <v>3104290.93</v>
      </c>
      <c r="S80" s="203">
        <v>13856226.310000001</v>
      </c>
      <c r="T80" s="203">
        <v>313442.88</v>
      </c>
      <c r="U80" s="203">
        <v>0</v>
      </c>
      <c r="V80" s="203">
        <v>0</v>
      </c>
      <c r="W80" s="203">
        <f t="shared" si="3"/>
        <v>53311836.720000006</v>
      </c>
      <c r="X80" s="197"/>
      <c r="Y80" s="197"/>
      <c r="AA80" s="197"/>
    </row>
    <row r="81" spans="1:27" s="195" customFormat="1" ht="14.25" customHeight="1" outlineLevel="2">
      <c r="A81" s="199">
        <v>571</v>
      </c>
      <c r="B81" s="200" t="s">
        <v>26</v>
      </c>
      <c r="C81" s="200" t="s">
        <v>153</v>
      </c>
      <c r="D81" s="200" t="s">
        <v>154</v>
      </c>
      <c r="E81" s="200" t="s">
        <v>183</v>
      </c>
      <c r="F81" s="200" t="s">
        <v>184</v>
      </c>
      <c r="G81" s="203">
        <v>33221</v>
      </c>
      <c r="H81" s="203">
        <v>1300.8600000000001</v>
      </c>
      <c r="I81" s="203">
        <v>149.19999999999999</v>
      </c>
      <c r="J81" s="203">
        <v>1213.3333</v>
      </c>
      <c r="K81" s="203">
        <v>24.559200000000001</v>
      </c>
      <c r="L81" s="203">
        <v>0</v>
      </c>
      <c r="M81" s="203">
        <v>0</v>
      </c>
      <c r="N81" s="203">
        <v>43215870.060000002</v>
      </c>
      <c r="O81" s="203">
        <v>4956573.2</v>
      </c>
      <c r="P81" s="203">
        <v>18059.11</v>
      </c>
      <c r="Q81" s="203">
        <v>4938514.09</v>
      </c>
      <c r="R81" s="203">
        <v>3957719.59</v>
      </c>
      <c r="S81" s="203">
        <v>10131333.060000001</v>
      </c>
      <c r="T81" s="203">
        <v>235768.32000000001</v>
      </c>
      <c r="U81" s="203">
        <v>0</v>
      </c>
      <c r="V81" s="203">
        <v>0</v>
      </c>
      <c r="W81" s="203">
        <f t="shared" si="3"/>
        <v>62479205.120000012</v>
      </c>
      <c r="X81" s="197"/>
      <c r="Y81" s="197"/>
      <c r="AA81" s="197"/>
    </row>
    <row r="82" spans="1:27" s="195" customFormat="1" ht="14.25" customHeight="1" outlineLevel="2">
      <c r="A82" s="199">
        <v>572</v>
      </c>
      <c r="B82" s="200" t="s">
        <v>26</v>
      </c>
      <c r="C82" s="200" t="s">
        <v>153</v>
      </c>
      <c r="D82" s="200" t="s">
        <v>154</v>
      </c>
      <c r="E82" s="200" t="s">
        <v>185</v>
      </c>
      <c r="F82" s="200" t="s">
        <v>186</v>
      </c>
      <c r="G82" s="203">
        <v>28324</v>
      </c>
      <c r="H82" s="203">
        <v>1300.8600000000001</v>
      </c>
      <c r="I82" s="203">
        <v>149.19999999999999</v>
      </c>
      <c r="J82" s="203">
        <v>1427.8164999999999</v>
      </c>
      <c r="K82" s="203">
        <v>17.187799999999999</v>
      </c>
      <c r="L82" s="203">
        <v>1.9117999999999999</v>
      </c>
      <c r="M82" s="203">
        <v>0</v>
      </c>
      <c r="N82" s="203">
        <v>36845558.640000001</v>
      </c>
      <c r="O82" s="203">
        <v>4225940.8</v>
      </c>
      <c r="P82" s="203">
        <v>15397.08</v>
      </c>
      <c r="Q82" s="203">
        <v>4210543.72</v>
      </c>
      <c r="R82" s="203">
        <v>2627370.15</v>
      </c>
      <c r="S82" s="203">
        <v>11922267.779999999</v>
      </c>
      <c r="T82" s="203">
        <v>165002.88</v>
      </c>
      <c r="U82" s="203">
        <v>17206.2</v>
      </c>
      <c r="V82" s="203">
        <v>0</v>
      </c>
      <c r="W82" s="203">
        <f t="shared" si="3"/>
        <v>55787949.370000005</v>
      </c>
      <c r="X82" s="197"/>
      <c r="Y82" s="197"/>
      <c r="AA82" s="197"/>
    </row>
    <row r="83" spans="1:27" s="195" customFormat="1" ht="14.25" customHeight="1" outlineLevel="2">
      <c r="A83" s="199">
        <v>573</v>
      </c>
      <c r="B83" s="200" t="s">
        <v>26</v>
      </c>
      <c r="C83" s="200" t="s">
        <v>153</v>
      </c>
      <c r="D83" s="200" t="s">
        <v>154</v>
      </c>
      <c r="E83" s="200" t="s">
        <v>187</v>
      </c>
      <c r="F83" s="200" t="s">
        <v>188</v>
      </c>
      <c r="G83" s="203">
        <v>113920</v>
      </c>
      <c r="H83" s="203">
        <v>1300.8600000000001</v>
      </c>
      <c r="I83" s="203">
        <v>149.19999999999999</v>
      </c>
      <c r="J83" s="203">
        <v>12707.294400000001</v>
      </c>
      <c r="K83" s="203">
        <v>266.36020000000002</v>
      </c>
      <c r="L83" s="203">
        <v>251.60709999999997</v>
      </c>
      <c r="M83" s="203">
        <v>25.874000000000002</v>
      </c>
      <c r="N83" s="203">
        <v>148193971.19999999</v>
      </c>
      <c r="O83" s="203">
        <v>16996864</v>
      </c>
      <c r="P83" s="203">
        <v>61927.53</v>
      </c>
      <c r="Q83" s="203">
        <v>16934936.469999999</v>
      </c>
      <c r="R83" s="203">
        <v>19879975.559999999</v>
      </c>
      <c r="S83" s="203">
        <v>106105908.23999999</v>
      </c>
      <c r="T83" s="203">
        <v>2557057.92</v>
      </c>
      <c r="U83" s="203">
        <v>2264463.9</v>
      </c>
      <c r="V83" s="203">
        <v>310488</v>
      </c>
      <c r="W83" s="203">
        <f t="shared" si="3"/>
        <v>296246801.28999996</v>
      </c>
      <c r="X83" s="197"/>
      <c r="Y83" s="197"/>
      <c r="AA83" s="197"/>
    </row>
    <row r="84" spans="1:27" s="195" customFormat="1" ht="14.25" customHeight="1" outlineLevel="2">
      <c r="A84" s="199">
        <v>574</v>
      </c>
      <c r="B84" s="200" t="s">
        <v>26</v>
      </c>
      <c r="C84" s="200" t="s">
        <v>153</v>
      </c>
      <c r="D84" s="200" t="s">
        <v>154</v>
      </c>
      <c r="E84" s="200" t="s">
        <v>189</v>
      </c>
      <c r="F84" s="200" t="s">
        <v>190</v>
      </c>
      <c r="G84" s="203">
        <v>28670</v>
      </c>
      <c r="H84" s="203">
        <v>1300.8600000000001</v>
      </c>
      <c r="I84" s="203">
        <v>149.19999999999999</v>
      </c>
      <c r="J84" s="203">
        <v>907.36059999999998</v>
      </c>
      <c r="K84" s="203">
        <v>28.359000000000002</v>
      </c>
      <c r="L84" s="203">
        <v>0</v>
      </c>
      <c r="M84" s="203">
        <v>0</v>
      </c>
      <c r="N84" s="203">
        <v>37295656.200000003</v>
      </c>
      <c r="O84" s="203">
        <v>4277564</v>
      </c>
      <c r="P84" s="203">
        <v>15585.17</v>
      </c>
      <c r="Q84" s="203">
        <v>4261978.83</v>
      </c>
      <c r="R84" s="203">
        <v>2641525.9700000002</v>
      </c>
      <c r="S84" s="203">
        <v>7576461.0099999998</v>
      </c>
      <c r="T84" s="203">
        <v>272246.40000000002</v>
      </c>
      <c r="U84" s="203">
        <v>0</v>
      </c>
      <c r="V84" s="203">
        <v>0</v>
      </c>
      <c r="W84" s="203">
        <f t="shared" si="3"/>
        <v>52047868.409999996</v>
      </c>
      <c r="X84" s="197"/>
      <c r="Y84" s="197"/>
      <c r="AA84" s="197"/>
    </row>
    <row r="85" spans="1:27" s="195" customFormat="1" ht="14.25" customHeight="1" outlineLevel="1">
      <c r="A85" s="221"/>
      <c r="B85" s="222"/>
      <c r="C85" s="222"/>
      <c r="D85" s="223" t="s">
        <v>268</v>
      </c>
      <c r="E85" s="222"/>
      <c r="F85" s="222"/>
      <c r="G85" s="224">
        <f>SUBTOTAL(9,G67:G84)</f>
        <v>852200</v>
      </c>
      <c r="H85" s="224"/>
      <c r="I85" s="224"/>
      <c r="J85" s="224">
        <f t="shared" ref="J85:W85" si="7">SUBTOTAL(9,J67:J84)</f>
        <v>116713.70759999998</v>
      </c>
      <c r="K85" s="224">
        <f t="shared" si="7"/>
        <v>2751.2419000000004</v>
      </c>
      <c r="L85" s="224">
        <f t="shared" si="7"/>
        <v>3322.3587000000002</v>
      </c>
      <c r="M85" s="224">
        <f t="shared" si="7"/>
        <v>482.8082</v>
      </c>
      <c r="N85" s="224">
        <f t="shared" si="7"/>
        <v>1108592892</v>
      </c>
      <c r="O85" s="224">
        <f t="shared" si="7"/>
        <v>127148239.99999999</v>
      </c>
      <c r="P85" s="224">
        <f t="shared" si="7"/>
        <v>463260.50999999995</v>
      </c>
      <c r="Q85" s="224">
        <f t="shared" si="7"/>
        <v>126684979.48999999</v>
      </c>
      <c r="R85" s="224">
        <f t="shared" si="7"/>
        <v>94055014.170000017</v>
      </c>
      <c r="S85" s="224">
        <f t="shared" si="7"/>
        <v>974559458.50999975</v>
      </c>
      <c r="T85" s="224">
        <f t="shared" si="7"/>
        <v>26411922.239999987</v>
      </c>
      <c r="U85" s="224">
        <f t="shared" si="7"/>
        <v>29901228.299999997</v>
      </c>
      <c r="V85" s="224">
        <f t="shared" si="7"/>
        <v>5793698.4000000004</v>
      </c>
      <c r="W85" s="224">
        <f t="shared" si="7"/>
        <v>2365999193.1100001</v>
      </c>
      <c r="X85" s="197"/>
      <c r="Y85" s="197"/>
      <c r="AA85" s="197"/>
    </row>
    <row r="86" spans="1:27" s="195" customFormat="1" ht="14.25" customHeight="1" outlineLevel="2">
      <c r="A86" s="199">
        <v>575</v>
      </c>
      <c r="B86" s="200" t="s">
        <v>26</v>
      </c>
      <c r="C86" s="200" t="s">
        <v>191</v>
      </c>
      <c r="D86" s="200" t="s">
        <v>192</v>
      </c>
      <c r="E86" s="200" t="s">
        <v>193</v>
      </c>
      <c r="F86" s="200" t="s">
        <v>194</v>
      </c>
      <c r="G86" s="203">
        <v>108275</v>
      </c>
      <c r="H86" s="203">
        <v>1301.2600000000002</v>
      </c>
      <c r="I86" s="203">
        <v>148.93</v>
      </c>
      <c r="J86" s="203">
        <v>25516.167799999999</v>
      </c>
      <c r="K86" s="203">
        <v>671.09690000000001</v>
      </c>
      <c r="L86" s="203">
        <v>584.00580000000002</v>
      </c>
      <c r="M86" s="203">
        <v>130.05250000000001</v>
      </c>
      <c r="N86" s="203">
        <v>140893926.5</v>
      </c>
      <c r="O86" s="203">
        <v>16125395.75</v>
      </c>
      <c r="P86" s="203">
        <v>58858.87</v>
      </c>
      <c r="Q86" s="203">
        <v>16066536.880000001</v>
      </c>
      <c r="R86" s="203">
        <v>10688421.27</v>
      </c>
      <c r="S86" s="203">
        <v>213060001.13</v>
      </c>
      <c r="T86" s="203">
        <v>6442530.2400000002</v>
      </c>
      <c r="U86" s="203">
        <v>5256052.2</v>
      </c>
      <c r="V86" s="203">
        <v>1560630</v>
      </c>
      <c r="W86" s="203">
        <f t="shared" si="3"/>
        <v>393968098.21999997</v>
      </c>
      <c r="X86" s="197"/>
      <c r="Y86" s="197"/>
      <c r="AA86" s="197"/>
    </row>
    <row r="87" spans="1:27" s="195" customFormat="1" ht="14.25" customHeight="1" outlineLevel="2">
      <c r="A87" s="199">
        <v>576</v>
      </c>
      <c r="B87" s="200" t="s">
        <v>26</v>
      </c>
      <c r="C87" s="200" t="s">
        <v>191</v>
      </c>
      <c r="D87" s="200" t="s">
        <v>192</v>
      </c>
      <c r="E87" s="200" t="s">
        <v>195</v>
      </c>
      <c r="F87" s="200" t="s">
        <v>196</v>
      </c>
      <c r="G87" s="203">
        <v>40006</v>
      </c>
      <c r="H87" s="203">
        <v>1301.2600000000002</v>
      </c>
      <c r="I87" s="203">
        <v>148.93</v>
      </c>
      <c r="J87" s="203">
        <v>924.58839999999998</v>
      </c>
      <c r="K87" s="203">
        <v>14.5588</v>
      </c>
      <c r="L87" s="203">
        <v>0</v>
      </c>
      <c r="M87" s="203">
        <v>0</v>
      </c>
      <c r="N87" s="203">
        <v>52058207.560000002</v>
      </c>
      <c r="O87" s="203">
        <v>5958093.5800000001</v>
      </c>
      <c r="P87" s="203">
        <v>21747.48</v>
      </c>
      <c r="Q87" s="203">
        <v>5936346.0999999996</v>
      </c>
      <c r="R87" s="203">
        <v>4843794.8899999997</v>
      </c>
      <c r="S87" s="203">
        <v>7720313.1399999997</v>
      </c>
      <c r="T87" s="203">
        <v>139764.48000000001</v>
      </c>
      <c r="U87" s="203">
        <v>0</v>
      </c>
      <c r="V87" s="203">
        <v>0</v>
      </c>
      <c r="W87" s="203">
        <f t="shared" si="3"/>
        <v>70698426.170000002</v>
      </c>
      <c r="X87" s="197"/>
      <c r="Y87" s="197"/>
      <c r="AA87" s="197"/>
    </row>
    <row r="88" spans="1:27" s="195" customFormat="1" ht="14.25" customHeight="1" outlineLevel="2">
      <c r="A88" s="199">
        <v>577</v>
      </c>
      <c r="B88" s="200" t="s">
        <v>26</v>
      </c>
      <c r="C88" s="200" t="s">
        <v>191</v>
      </c>
      <c r="D88" s="200" t="s">
        <v>192</v>
      </c>
      <c r="E88" s="200" t="s">
        <v>197</v>
      </c>
      <c r="F88" s="200" t="s">
        <v>198</v>
      </c>
      <c r="G88" s="203">
        <v>44954</v>
      </c>
      <c r="H88" s="203">
        <v>1301.2600000000002</v>
      </c>
      <c r="I88" s="203">
        <v>148.93</v>
      </c>
      <c r="J88" s="203">
        <v>1245.3439000000001</v>
      </c>
      <c r="K88" s="203">
        <v>28.5381</v>
      </c>
      <c r="L88" s="203">
        <v>0</v>
      </c>
      <c r="M88" s="203">
        <v>0</v>
      </c>
      <c r="N88" s="203">
        <v>58496842.039999999</v>
      </c>
      <c r="O88" s="203">
        <v>6694999.2199999997</v>
      </c>
      <c r="P88" s="203">
        <v>24437.24</v>
      </c>
      <c r="Q88" s="203">
        <v>6670561.9800000004</v>
      </c>
      <c r="R88" s="203">
        <v>6282486.9199999999</v>
      </c>
      <c r="S88" s="203">
        <v>10398621.57</v>
      </c>
      <c r="T88" s="203">
        <v>273965.76</v>
      </c>
      <c r="U88" s="203">
        <v>0</v>
      </c>
      <c r="V88" s="203">
        <v>0</v>
      </c>
      <c r="W88" s="203">
        <f t="shared" si="3"/>
        <v>82122478.269999996</v>
      </c>
      <c r="X88" s="197"/>
      <c r="Y88" s="197"/>
      <c r="AA88" s="197"/>
    </row>
    <row r="89" spans="1:27" s="195" customFormat="1" ht="14.25" customHeight="1" outlineLevel="2">
      <c r="A89" s="199">
        <v>578</v>
      </c>
      <c r="B89" s="200" t="s">
        <v>26</v>
      </c>
      <c r="C89" s="200" t="s">
        <v>191</v>
      </c>
      <c r="D89" s="200" t="s">
        <v>192</v>
      </c>
      <c r="E89" s="200" t="s">
        <v>199</v>
      </c>
      <c r="F89" s="200" t="s">
        <v>200</v>
      </c>
      <c r="G89" s="203">
        <v>27242</v>
      </c>
      <c r="H89" s="203">
        <v>1301.2600000000002</v>
      </c>
      <c r="I89" s="203">
        <v>148.93</v>
      </c>
      <c r="J89" s="203">
        <v>1291.7336</v>
      </c>
      <c r="K89" s="203">
        <v>36.531300000000002</v>
      </c>
      <c r="L89" s="203">
        <v>0</v>
      </c>
      <c r="M89" s="203">
        <v>0</v>
      </c>
      <c r="N89" s="203">
        <v>35448924.920000002</v>
      </c>
      <c r="O89" s="203">
        <v>4057151.06</v>
      </c>
      <c r="P89" s="203">
        <v>14808.9</v>
      </c>
      <c r="Q89" s="203">
        <v>4042342.16</v>
      </c>
      <c r="R89" s="203">
        <v>2918083.25</v>
      </c>
      <c r="S89" s="203">
        <v>10785975.560000001</v>
      </c>
      <c r="T89" s="203">
        <v>350700.48</v>
      </c>
      <c r="U89" s="203">
        <v>0</v>
      </c>
      <c r="V89" s="203">
        <v>0</v>
      </c>
      <c r="W89" s="203">
        <f t="shared" ref="W89:W97" si="8">N89+Q89+R89+S89+T89+U89+V89</f>
        <v>53546026.369999997</v>
      </c>
      <c r="X89" s="197"/>
      <c r="Y89" s="197"/>
      <c r="AA89" s="197"/>
    </row>
    <row r="90" spans="1:27" s="195" customFormat="1" ht="14.25" customHeight="1" outlineLevel="2">
      <c r="A90" s="199">
        <v>579</v>
      </c>
      <c r="B90" s="200" t="s">
        <v>26</v>
      </c>
      <c r="C90" s="200" t="s">
        <v>191</v>
      </c>
      <c r="D90" s="200" t="s">
        <v>192</v>
      </c>
      <c r="E90" s="200" t="s">
        <v>201</v>
      </c>
      <c r="F90" s="200" t="s">
        <v>202</v>
      </c>
      <c r="G90" s="203">
        <v>17875</v>
      </c>
      <c r="H90" s="203">
        <v>1301.2600000000002</v>
      </c>
      <c r="I90" s="203">
        <v>148.93</v>
      </c>
      <c r="J90" s="203">
        <v>848.11040000000003</v>
      </c>
      <c r="K90" s="203">
        <v>8.4916999999999998</v>
      </c>
      <c r="L90" s="203">
        <v>0</v>
      </c>
      <c r="M90" s="203">
        <v>0</v>
      </c>
      <c r="N90" s="203">
        <v>23260022.5</v>
      </c>
      <c r="O90" s="203">
        <v>2662123.75</v>
      </c>
      <c r="P90" s="203">
        <v>9716.9500000000007</v>
      </c>
      <c r="Q90" s="203">
        <v>2652406.7999999998</v>
      </c>
      <c r="R90" s="203">
        <v>1980104.37</v>
      </c>
      <c r="S90" s="203">
        <v>7081721.8399999999</v>
      </c>
      <c r="T90" s="203">
        <v>81520.320000000007</v>
      </c>
      <c r="U90" s="203">
        <v>0</v>
      </c>
      <c r="V90" s="203">
        <v>0</v>
      </c>
      <c r="W90" s="203">
        <f t="shared" si="8"/>
        <v>35055775.830000006</v>
      </c>
      <c r="X90" s="197"/>
      <c r="Y90" s="197"/>
      <c r="AA90" s="197"/>
    </row>
    <row r="91" spans="1:27" s="195" customFormat="1" ht="14.25" customHeight="1" outlineLevel="2">
      <c r="A91" s="199">
        <v>580</v>
      </c>
      <c r="B91" s="200" t="s">
        <v>26</v>
      </c>
      <c r="C91" s="200" t="s">
        <v>191</v>
      </c>
      <c r="D91" s="200" t="s">
        <v>192</v>
      </c>
      <c r="E91" s="200" t="s">
        <v>203</v>
      </c>
      <c r="F91" s="200" t="s">
        <v>204</v>
      </c>
      <c r="G91" s="203">
        <v>32984</v>
      </c>
      <c r="H91" s="203">
        <v>1301.2600000000002</v>
      </c>
      <c r="I91" s="203">
        <v>148.93</v>
      </c>
      <c r="J91" s="203">
        <v>1584.6184000000001</v>
      </c>
      <c r="K91" s="203">
        <v>27.335699999999999</v>
      </c>
      <c r="L91" s="203">
        <v>0</v>
      </c>
      <c r="M91" s="203">
        <v>0</v>
      </c>
      <c r="N91" s="203">
        <v>42920759.840000004</v>
      </c>
      <c r="O91" s="203">
        <v>4912307.12</v>
      </c>
      <c r="P91" s="203">
        <v>17930.28</v>
      </c>
      <c r="Q91" s="203">
        <v>4894376.84</v>
      </c>
      <c r="R91" s="203">
        <v>4822669.46</v>
      </c>
      <c r="S91" s="203">
        <v>13231563.640000001</v>
      </c>
      <c r="T91" s="203">
        <v>262422.71999999997</v>
      </c>
      <c r="U91" s="203">
        <v>0</v>
      </c>
      <c r="V91" s="203">
        <v>0</v>
      </c>
      <c r="W91" s="203">
        <f t="shared" si="8"/>
        <v>66131792.500000007</v>
      </c>
      <c r="X91" s="197"/>
      <c r="Y91" s="197"/>
      <c r="AA91" s="197"/>
    </row>
    <row r="92" spans="1:27" s="195" customFormat="1" ht="14.25" customHeight="1" outlineLevel="2">
      <c r="A92" s="199">
        <v>581</v>
      </c>
      <c r="B92" s="200" t="s">
        <v>26</v>
      </c>
      <c r="C92" s="200" t="s">
        <v>191</v>
      </c>
      <c r="D92" s="200" t="s">
        <v>192</v>
      </c>
      <c r="E92" s="200" t="s">
        <v>205</v>
      </c>
      <c r="F92" s="200" t="s">
        <v>206</v>
      </c>
      <c r="G92" s="203">
        <v>55230</v>
      </c>
      <c r="H92" s="203">
        <v>1301.2600000000002</v>
      </c>
      <c r="I92" s="203">
        <v>148.93</v>
      </c>
      <c r="J92" s="203">
        <v>1882.6287</v>
      </c>
      <c r="K92" s="203">
        <v>43.42</v>
      </c>
      <c r="L92" s="203">
        <v>0</v>
      </c>
      <c r="M92" s="203">
        <v>0</v>
      </c>
      <c r="N92" s="203">
        <v>71868589.799999997</v>
      </c>
      <c r="O92" s="203">
        <v>8225403.9000000004</v>
      </c>
      <c r="P92" s="203">
        <v>30023.33</v>
      </c>
      <c r="Q92" s="203">
        <v>8195380.5700000003</v>
      </c>
      <c r="R92" s="203">
        <v>6015411.0300000003</v>
      </c>
      <c r="S92" s="203">
        <v>15719949.65</v>
      </c>
      <c r="T92" s="203">
        <v>416832</v>
      </c>
      <c r="U92" s="203">
        <v>0</v>
      </c>
      <c r="V92" s="203">
        <v>0</v>
      </c>
      <c r="W92" s="203">
        <f t="shared" si="8"/>
        <v>102216163.05000001</v>
      </c>
      <c r="X92" s="197"/>
      <c r="Y92" s="197"/>
      <c r="AA92" s="197"/>
    </row>
    <row r="93" spans="1:27" s="195" customFormat="1" ht="14.25" customHeight="1" outlineLevel="2">
      <c r="A93" s="199">
        <v>582</v>
      </c>
      <c r="B93" s="200" t="s">
        <v>26</v>
      </c>
      <c r="C93" s="200" t="s">
        <v>191</v>
      </c>
      <c r="D93" s="200" t="s">
        <v>192</v>
      </c>
      <c r="E93" s="200" t="s">
        <v>207</v>
      </c>
      <c r="F93" s="200" t="s">
        <v>208</v>
      </c>
      <c r="G93" s="203">
        <v>53839</v>
      </c>
      <c r="H93" s="203">
        <v>1301.2600000000002</v>
      </c>
      <c r="I93" s="203">
        <v>148.93</v>
      </c>
      <c r="J93" s="203">
        <v>3523.2865999999999</v>
      </c>
      <c r="K93" s="203">
        <v>50.103400000000001</v>
      </c>
      <c r="L93" s="203">
        <v>18.575600000000001</v>
      </c>
      <c r="M93" s="203">
        <v>0</v>
      </c>
      <c r="N93" s="203">
        <v>70058537.140000001</v>
      </c>
      <c r="O93" s="203">
        <v>8018242.2699999996</v>
      </c>
      <c r="P93" s="203">
        <v>29267.17</v>
      </c>
      <c r="Q93" s="203">
        <v>7988975.0999999996</v>
      </c>
      <c r="R93" s="203">
        <v>7078603.7599999998</v>
      </c>
      <c r="S93" s="203">
        <v>29419443.109999999</v>
      </c>
      <c r="T93" s="203">
        <v>480992.64</v>
      </c>
      <c r="U93" s="203">
        <v>167180.4</v>
      </c>
      <c r="V93" s="203">
        <v>0</v>
      </c>
      <c r="W93" s="203">
        <f t="shared" si="8"/>
        <v>115193732.15000001</v>
      </c>
      <c r="X93" s="197"/>
      <c r="Y93" s="197"/>
      <c r="AA93" s="197"/>
    </row>
    <row r="94" spans="1:27" s="195" customFormat="1" ht="14.25" customHeight="1" outlineLevel="2">
      <c r="A94" s="199">
        <v>583</v>
      </c>
      <c r="B94" s="200" t="s">
        <v>26</v>
      </c>
      <c r="C94" s="200" t="s">
        <v>191</v>
      </c>
      <c r="D94" s="200" t="s">
        <v>192</v>
      </c>
      <c r="E94" s="200" t="s">
        <v>209</v>
      </c>
      <c r="F94" s="200" t="s">
        <v>210</v>
      </c>
      <c r="G94" s="203">
        <v>38222</v>
      </c>
      <c r="H94" s="203">
        <v>1301.2600000000002</v>
      </c>
      <c r="I94" s="203">
        <v>148.93</v>
      </c>
      <c r="J94" s="203">
        <v>1252.1901</v>
      </c>
      <c r="K94" s="203">
        <v>23.865400000000001</v>
      </c>
      <c r="L94" s="203">
        <v>0</v>
      </c>
      <c r="M94" s="203">
        <v>0</v>
      </c>
      <c r="N94" s="203">
        <v>49736759.719999999</v>
      </c>
      <c r="O94" s="203">
        <v>5692402.46</v>
      </c>
      <c r="P94" s="203">
        <v>20777.689999999999</v>
      </c>
      <c r="Q94" s="203">
        <v>5671624.7699999996</v>
      </c>
      <c r="R94" s="203">
        <v>5052595.62</v>
      </c>
      <c r="S94" s="203">
        <v>10455787.34</v>
      </c>
      <c r="T94" s="203">
        <v>229107.84</v>
      </c>
      <c r="U94" s="203">
        <v>0</v>
      </c>
      <c r="V94" s="203">
        <v>0</v>
      </c>
      <c r="W94" s="203">
        <f t="shared" si="8"/>
        <v>71145875.289999992</v>
      </c>
      <c r="X94" s="197"/>
      <c r="Y94" s="197"/>
      <c r="AA94" s="197"/>
    </row>
    <row r="95" spans="1:27" s="195" customFormat="1" ht="14.25" customHeight="1" outlineLevel="2">
      <c r="A95" s="199">
        <v>584</v>
      </c>
      <c r="B95" s="200" t="s">
        <v>26</v>
      </c>
      <c r="C95" s="200" t="s">
        <v>191</v>
      </c>
      <c r="D95" s="200" t="s">
        <v>192</v>
      </c>
      <c r="E95" s="200" t="s">
        <v>211</v>
      </c>
      <c r="F95" s="200" t="s">
        <v>212</v>
      </c>
      <c r="G95" s="203">
        <v>43811</v>
      </c>
      <c r="H95" s="203">
        <v>1301.2600000000002</v>
      </c>
      <c r="I95" s="203">
        <v>148.93</v>
      </c>
      <c r="J95" s="203">
        <v>1714.7805000000001</v>
      </c>
      <c r="K95" s="203">
        <v>23.7532</v>
      </c>
      <c r="L95" s="203">
        <v>0</v>
      </c>
      <c r="M95" s="203">
        <v>0</v>
      </c>
      <c r="N95" s="203">
        <v>57009501.859999999</v>
      </c>
      <c r="O95" s="203">
        <v>6524772.2300000004</v>
      </c>
      <c r="P95" s="203">
        <v>23815.9</v>
      </c>
      <c r="Q95" s="203">
        <v>6500956.3300000001</v>
      </c>
      <c r="R95" s="203">
        <v>5037324.54</v>
      </c>
      <c r="S95" s="203">
        <v>14318417.18</v>
      </c>
      <c r="T95" s="203">
        <v>228030.72</v>
      </c>
      <c r="U95" s="203">
        <v>0</v>
      </c>
      <c r="V95" s="203">
        <v>0</v>
      </c>
      <c r="W95" s="203">
        <f t="shared" si="8"/>
        <v>83094230.629999995</v>
      </c>
      <c r="X95" s="197"/>
      <c r="Y95" s="197"/>
      <c r="AA95" s="197"/>
    </row>
    <row r="96" spans="1:27" s="195" customFormat="1" ht="14.25" customHeight="1" outlineLevel="2">
      <c r="A96" s="199">
        <v>585</v>
      </c>
      <c r="B96" s="200" t="s">
        <v>26</v>
      </c>
      <c r="C96" s="200" t="s">
        <v>191</v>
      </c>
      <c r="D96" s="200" t="s">
        <v>192</v>
      </c>
      <c r="E96" s="200" t="s">
        <v>213</v>
      </c>
      <c r="F96" s="200" t="s">
        <v>214</v>
      </c>
      <c r="G96" s="203">
        <v>61265</v>
      </c>
      <c r="H96" s="203">
        <v>1301.2600000000002</v>
      </c>
      <c r="I96" s="203">
        <v>148.93</v>
      </c>
      <c r="J96" s="203">
        <v>5172.192</v>
      </c>
      <c r="K96" s="203">
        <v>122.5997</v>
      </c>
      <c r="L96" s="203">
        <v>40.943100000000008</v>
      </c>
      <c r="M96" s="203">
        <v>8.3947000000000003</v>
      </c>
      <c r="N96" s="203">
        <v>79721693.900000006</v>
      </c>
      <c r="O96" s="203">
        <v>9124196.4499999993</v>
      </c>
      <c r="P96" s="203">
        <v>33303.980000000003</v>
      </c>
      <c r="Q96" s="203">
        <v>9090892.4700000007</v>
      </c>
      <c r="R96" s="203">
        <v>7372488.0999999996</v>
      </c>
      <c r="S96" s="203">
        <v>43187803.200000003</v>
      </c>
      <c r="T96" s="203">
        <v>1176957.1200000001</v>
      </c>
      <c r="U96" s="203">
        <v>368487.9</v>
      </c>
      <c r="V96" s="203">
        <v>100736.4</v>
      </c>
      <c r="W96" s="203">
        <f t="shared" si="8"/>
        <v>141019059.09000003</v>
      </c>
      <c r="X96" s="197"/>
      <c r="Y96" s="197"/>
      <c r="AA96" s="197"/>
    </row>
    <row r="97" spans="1:27" s="195" customFormat="1" ht="14.25" customHeight="1" outlineLevel="2">
      <c r="A97" s="199">
        <v>586</v>
      </c>
      <c r="B97" s="200" t="s">
        <v>26</v>
      </c>
      <c r="C97" s="200" t="s">
        <v>191</v>
      </c>
      <c r="D97" s="200" t="s">
        <v>192</v>
      </c>
      <c r="E97" s="200" t="s">
        <v>215</v>
      </c>
      <c r="F97" s="200" t="s">
        <v>216</v>
      </c>
      <c r="G97" s="203">
        <v>11685</v>
      </c>
      <c r="H97" s="203">
        <v>1301.2600000000002</v>
      </c>
      <c r="I97" s="203">
        <v>148.93</v>
      </c>
      <c r="J97" s="203">
        <v>624.44299999999998</v>
      </c>
      <c r="K97" s="203">
        <v>7.3780999999999999</v>
      </c>
      <c r="L97" s="203">
        <v>0</v>
      </c>
      <c r="M97" s="203">
        <v>0</v>
      </c>
      <c r="N97" s="203">
        <v>15205223.1</v>
      </c>
      <c r="O97" s="203">
        <v>1740247.05</v>
      </c>
      <c r="P97" s="203">
        <v>6352.03</v>
      </c>
      <c r="Q97" s="203">
        <v>1733895.02</v>
      </c>
      <c r="R97" s="203">
        <v>904472.36</v>
      </c>
      <c r="S97" s="203">
        <v>5214099.05</v>
      </c>
      <c r="T97" s="203">
        <v>70829.759999999995</v>
      </c>
      <c r="U97" s="203">
        <v>0</v>
      </c>
      <c r="V97" s="203">
        <v>0</v>
      </c>
      <c r="W97" s="203">
        <f t="shared" si="8"/>
        <v>23128519.290000003</v>
      </c>
      <c r="X97" s="197"/>
      <c r="Y97" s="197"/>
      <c r="AA97" s="197"/>
    </row>
    <row r="98" spans="1:27" s="195" customFormat="1" ht="14.25" customHeight="1" outlineLevel="1">
      <c r="A98" s="221"/>
      <c r="B98" s="222"/>
      <c r="C98" s="222"/>
      <c r="D98" s="223" t="s">
        <v>269</v>
      </c>
      <c r="E98" s="222"/>
      <c r="F98" s="222"/>
      <c r="G98" s="224">
        <f>SUBTOTAL(9,G86:G97)</f>
        <v>535388</v>
      </c>
      <c r="H98" s="224"/>
      <c r="I98" s="224"/>
      <c r="J98" s="224">
        <f t="shared" ref="J98:W98" si="9">SUBTOTAL(9,J86:J97)</f>
        <v>45580.083400000003</v>
      </c>
      <c r="K98" s="224">
        <f t="shared" si="9"/>
        <v>1057.6723</v>
      </c>
      <c r="L98" s="224">
        <f t="shared" si="9"/>
        <v>643.52449999999999</v>
      </c>
      <c r="M98" s="224">
        <f t="shared" si="9"/>
        <v>138.44720000000001</v>
      </c>
      <c r="N98" s="224">
        <f t="shared" si="9"/>
        <v>696678988.88</v>
      </c>
      <c r="O98" s="224">
        <f t="shared" si="9"/>
        <v>79735334.839999989</v>
      </c>
      <c r="P98" s="224">
        <f t="shared" si="9"/>
        <v>291039.82</v>
      </c>
      <c r="Q98" s="224">
        <f t="shared" si="9"/>
        <v>79444295.019999996</v>
      </c>
      <c r="R98" s="224">
        <f t="shared" si="9"/>
        <v>62996455.569999993</v>
      </c>
      <c r="S98" s="224">
        <f t="shared" si="9"/>
        <v>380593696.40999997</v>
      </c>
      <c r="T98" s="224">
        <f t="shared" si="9"/>
        <v>10153654.08</v>
      </c>
      <c r="U98" s="224">
        <f t="shared" si="9"/>
        <v>5791720.5000000009</v>
      </c>
      <c r="V98" s="224">
        <f t="shared" si="9"/>
        <v>1661366.4</v>
      </c>
      <c r="W98" s="224">
        <f t="shared" si="9"/>
        <v>1237320176.8600001</v>
      </c>
      <c r="X98" s="197"/>
      <c r="Y98" s="197"/>
      <c r="AA98" s="197"/>
    </row>
    <row r="99" spans="1:27" s="195" customFormat="1">
      <c r="A99" s="216"/>
      <c r="B99" s="217"/>
      <c r="C99" s="217"/>
      <c r="D99" s="218" t="s">
        <v>270</v>
      </c>
      <c r="E99" s="217"/>
      <c r="F99" s="217"/>
      <c r="G99" s="219">
        <f>SUBTOTAL(9,G4:G98)</f>
        <v>4141896</v>
      </c>
      <c r="H99" s="219"/>
      <c r="I99" s="219"/>
      <c r="J99" s="219">
        <f t="shared" ref="J99:W99" si="10">SUBTOTAL(9,J4:J98)</f>
        <v>528208.60629999998</v>
      </c>
      <c r="K99" s="219">
        <f t="shared" si="10"/>
        <v>12180.969800000003</v>
      </c>
      <c r="L99" s="220">
        <f t="shared" si="10"/>
        <v>12184.299699999998</v>
      </c>
      <c r="M99" s="220">
        <f t="shared" si="10"/>
        <v>1305.1943000000001</v>
      </c>
      <c r="N99" s="220">
        <f t="shared" si="10"/>
        <v>5482340580.2700005</v>
      </c>
      <c r="O99" s="220">
        <f t="shared" si="10"/>
        <v>620308995.24999988</v>
      </c>
      <c r="P99" s="220">
        <f t="shared" si="10"/>
        <v>2251556.96</v>
      </c>
      <c r="Q99" s="220">
        <f t="shared" si="10"/>
        <v>618057438.29000008</v>
      </c>
      <c r="R99" s="220">
        <f t="shared" si="10"/>
        <v>497609925.32999992</v>
      </c>
      <c r="S99" s="220">
        <f t="shared" si="10"/>
        <v>4410541862.829999</v>
      </c>
      <c r="T99" s="220">
        <f t="shared" si="10"/>
        <v>116937310.07999997</v>
      </c>
      <c r="U99" s="220">
        <f t="shared" si="10"/>
        <v>109658697.30000003</v>
      </c>
      <c r="V99" s="220">
        <f t="shared" si="10"/>
        <v>15662331.6</v>
      </c>
      <c r="W99" s="219">
        <f t="shared" si="10"/>
        <v>11250808145.700005</v>
      </c>
      <c r="X99" s="197"/>
      <c r="Y99" s="197"/>
      <c r="AA99" s="197"/>
    </row>
    <row r="100" spans="1:27">
      <c r="G100" s="198"/>
      <c r="J100" s="198"/>
      <c r="K100" s="198"/>
      <c r="L100" s="198"/>
      <c r="M100" s="198"/>
      <c r="W100" s="198"/>
    </row>
  </sheetData>
  <sheetProtection algorithmName="SHA-512" hashValue="MOX/qdEFhC1H7ORXe7HrJG0PlFrnEcnsOr1vIoSncBVt/8jospnZ6a98mgf72fR6Mllmaj6TxLU5cpxI6Lerxg==" saltValue="1NF095n3ZK+YAo+ynaDL0Q==" spinCount="100000" sheet="1" objects="1" scenarios="1"/>
  <autoFilter ref="A3:AA98" xr:uid="{D2CC16A4-7767-4AC7-AFC6-5ECDB880F875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B988-219B-4F83-8042-52873406A850}">
  <sheetPr codeName="Sheet3"/>
  <dimension ref="A1:AE102"/>
  <sheetViews>
    <sheetView zoomScaleNormal="100" workbookViewId="0">
      <pane xSplit="6" ySplit="3" topLeftCell="G4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A99" sqref="A99:XFD452"/>
    </sheetView>
  </sheetViews>
  <sheetFormatPr defaultColWidth="9" defaultRowHeight="13" outlineLevelRow="2"/>
  <cols>
    <col min="1" max="1" width="5" style="193" customWidth="1"/>
    <col min="2" max="2" width="5.36328125" style="225" customWidth="1"/>
    <col min="3" max="3" width="9" style="193" hidden="1" customWidth="1"/>
    <col min="4" max="4" width="9" style="193"/>
    <col min="5" max="5" width="5.6328125" style="193" customWidth="1"/>
    <col min="6" max="6" width="32" style="193" customWidth="1"/>
    <col min="7" max="7" width="9.08984375" style="193" customWidth="1"/>
    <col min="8" max="8" width="13.7265625" style="193" customWidth="1"/>
    <col min="9" max="9" width="9" style="193" customWidth="1"/>
    <col min="10" max="10" width="10.36328125" style="193" customWidth="1"/>
    <col min="11" max="11" width="14" style="193" customWidth="1"/>
    <col min="12" max="12" width="12" style="193" customWidth="1"/>
    <col min="13" max="15" width="12.7265625" style="193" customWidth="1"/>
    <col min="16" max="16" width="18" style="193" customWidth="1"/>
    <col min="17" max="18" width="15.6328125" style="193" customWidth="1"/>
    <col min="19" max="19" width="15" style="193" customWidth="1"/>
    <col min="20" max="21" width="15.453125" style="193" customWidth="1"/>
    <col min="22" max="22" width="16.7265625" style="193" customWidth="1"/>
    <col min="23" max="23" width="17.453125" style="193" customWidth="1"/>
    <col min="24" max="24" width="15.6328125" style="193" customWidth="1"/>
    <col min="25" max="25" width="16.36328125" style="193" customWidth="1"/>
    <col min="26" max="27" width="18" style="193" customWidth="1"/>
    <col min="28" max="28" width="17.6328125" style="193" customWidth="1"/>
    <col min="29" max="29" width="13.6328125" style="193" bestFit="1" customWidth="1"/>
    <col min="30" max="30" width="15.6328125" style="235" bestFit="1" customWidth="1"/>
    <col min="31" max="31" width="16.6328125" style="193" customWidth="1"/>
    <col min="32" max="16384" width="9" style="193"/>
  </cols>
  <sheetData>
    <row r="1" spans="1:31">
      <c r="AD1" s="226"/>
    </row>
    <row r="2" spans="1:31" ht="18.75" customHeight="1">
      <c r="A2" s="213"/>
      <c r="B2" s="236"/>
      <c r="C2" s="204"/>
      <c r="D2" s="204"/>
      <c r="E2" s="204"/>
      <c r="F2" s="204"/>
      <c r="G2" s="237"/>
      <c r="H2" s="238" t="s">
        <v>222</v>
      </c>
      <c r="I2" s="237" t="s">
        <v>223</v>
      </c>
      <c r="J2" s="237" t="s">
        <v>224</v>
      </c>
      <c r="K2" s="237" t="s">
        <v>225</v>
      </c>
      <c r="L2" s="237" t="s">
        <v>226</v>
      </c>
      <c r="M2" s="237" t="s">
        <v>227</v>
      </c>
      <c r="N2" s="237" t="s">
        <v>235</v>
      </c>
      <c r="O2" s="237" t="s">
        <v>385</v>
      </c>
      <c r="P2" s="237" t="s">
        <v>386</v>
      </c>
      <c r="Q2" s="237" t="s">
        <v>387</v>
      </c>
      <c r="R2" s="237" t="s">
        <v>389</v>
      </c>
      <c r="S2" s="237" t="s">
        <v>388</v>
      </c>
      <c r="T2" s="237" t="s">
        <v>390</v>
      </c>
      <c r="U2" s="237" t="s">
        <v>391</v>
      </c>
      <c r="V2" s="237" t="s">
        <v>392</v>
      </c>
      <c r="W2" s="237" t="s">
        <v>238</v>
      </c>
      <c r="X2" s="237" t="s">
        <v>393</v>
      </c>
      <c r="Y2" s="237" t="s">
        <v>239</v>
      </c>
      <c r="Z2" s="239" t="s">
        <v>407</v>
      </c>
      <c r="AA2" s="237" t="s">
        <v>408</v>
      </c>
      <c r="AB2" s="237" t="s">
        <v>409</v>
      </c>
      <c r="AD2" s="226"/>
    </row>
    <row r="3" spans="1:31" s="194" customFormat="1" ht="59.25" customHeight="1">
      <c r="A3" s="215" t="s">
        <v>261</v>
      </c>
      <c r="B3" s="215" t="s">
        <v>221</v>
      </c>
      <c r="C3" s="215" t="s">
        <v>9</v>
      </c>
      <c r="D3" s="215" t="s">
        <v>262</v>
      </c>
      <c r="E3" s="215" t="s">
        <v>10</v>
      </c>
      <c r="F3" s="215" t="s">
        <v>11</v>
      </c>
      <c r="G3" s="240" t="s">
        <v>15</v>
      </c>
      <c r="H3" s="208" t="s">
        <v>240</v>
      </c>
      <c r="I3" s="208" t="s">
        <v>241</v>
      </c>
      <c r="J3" s="208" t="s">
        <v>242</v>
      </c>
      <c r="K3" s="208" t="s">
        <v>232</v>
      </c>
      <c r="L3" s="208" t="s">
        <v>233</v>
      </c>
      <c r="M3" s="208" t="s">
        <v>234</v>
      </c>
      <c r="N3" s="208" t="s">
        <v>375</v>
      </c>
      <c r="O3" s="208" t="s">
        <v>243</v>
      </c>
      <c r="P3" s="208" t="s">
        <v>244</v>
      </c>
      <c r="Q3" s="208" t="s">
        <v>245</v>
      </c>
      <c r="R3" s="208" t="s">
        <v>246</v>
      </c>
      <c r="S3" s="208" t="s">
        <v>13</v>
      </c>
      <c r="T3" s="209" t="s">
        <v>234</v>
      </c>
      <c r="U3" s="209" t="s">
        <v>375</v>
      </c>
      <c r="V3" s="208" t="s">
        <v>247</v>
      </c>
      <c r="W3" s="208" t="s">
        <v>14</v>
      </c>
      <c r="X3" s="208" t="s">
        <v>248</v>
      </c>
      <c r="Y3" s="208" t="s">
        <v>394</v>
      </c>
      <c r="Z3" s="208" t="s">
        <v>395</v>
      </c>
      <c r="AA3" s="208" t="s">
        <v>396</v>
      </c>
      <c r="AB3" s="241" t="s">
        <v>397</v>
      </c>
      <c r="AD3" s="227"/>
    </row>
    <row r="4" spans="1:31" s="195" customFormat="1" ht="13.5" customHeight="1" outlineLevel="2">
      <c r="A4" s="211">
        <v>499</v>
      </c>
      <c r="B4" s="211" t="s">
        <v>26</v>
      </c>
      <c r="C4" s="212" t="s">
        <v>27</v>
      </c>
      <c r="D4" s="212" t="s">
        <v>28</v>
      </c>
      <c r="E4" s="212" t="s">
        <v>29</v>
      </c>
      <c r="F4" s="212" t="s">
        <v>30</v>
      </c>
      <c r="G4" s="231">
        <v>1.1499999999999999</v>
      </c>
      <c r="H4" s="232">
        <v>77001</v>
      </c>
      <c r="I4" s="231">
        <v>1104.8337009908962</v>
      </c>
      <c r="J4" s="231">
        <v>221.68117375099024</v>
      </c>
      <c r="K4" s="233">
        <v>17006.694100000001</v>
      </c>
      <c r="L4" s="233">
        <v>422.09010000000001</v>
      </c>
      <c r="M4" s="233">
        <v>389.9769</v>
      </c>
      <c r="N4" s="233">
        <v>7.9749999999999996</v>
      </c>
      <c r="O4" s="231">
        <v>7038.3311407089304</v>
      </c>
      <c r="P4" s="231">
        <v>85073299.810000002</v>
      </c>
      <c r="Q4" s="231">
        <v>17069672.059999999</v>
      </c>
      <c r="R4" s="231">
        <v>137653556.28</v>
      </c>
      <c r="S4" s="231">
        <v>4052064.96</v>
      </c>
      <c r="T4" s="231">
        <v>3509792.1</v>
      </c>
      <c r="U4" s="231">
        <v>95700</v>
      </c>
      <c r="V4" s="231">
        <f t="shared" ref="V4:V20" si="0">SUM(P4:U4)</f>
        <v>247454085.21000001</v>
      </c>
      <c r="W4" s="231">
        <v>101376915</v>
      </c>
      <c r="X4" s="231">
        <v>146077170.21000001</v>
      </c>
      <c r="Y4" s="201">
        <v>0</v>
      </c>
      <c r="Z4" s="234">
        <f t="shared" ref="Z4:Z20" si="1">X4+Y4</f>
        <v>146077170.21000001</v>
      </c>
      <c r="AA4" s="231">
        <v>123938225.91</v>
      </c>
      <c r="AB4" s="231">
        <v>117415161.39</v>
      </c>
      <c r="AD4" s="196"/>
      <c r="AE4" s="197"/>
    </row>
    <row r="5" spans="1:31" s="195" customFormat="1" ht="13.5" customHeight="1" outlineLevel="2">
      <c r="A5" s="199">
        <v>500</v>
      </c>
      <c r="B5" s="199" t="s">
        <v>26</v>
      </c>
      <c r="C5" s="200" t="s">
        <v>27</v>
      </c>
      <c r="D5" s="200" t="s">
        <v>28</v>
      </c>
      <c r="E5" s="200" t="s">
        <v>31</v>
      </c>
      <c r="F5" s="200" t="s">
        <v>32</v>
      </c>
      <c r="G5" s="201">
        <v>1.2</v>
      </c>
      <c r="H5" s="228">
        <v>42139</v>
      </c>
      <c r="I5" s="201">
        <v>1303.1099038895086</v>
      </c>
      <c r="J5" s="201">
        <v>261.4646282541114</v>
      </c>
      <c r="K5" s="202">
        <v>1910.0536999999999</v>
      </c>
      <c r="L5" s="202">
        <v>44.394199999999998</v>
      </c>
      <c r="M5" s="202">
        <v>0</v>
      </c>
      <c r="N5" s="202">
        <v>0</v>
      </c>
      <c r="O5" s="201">
        <v>7038.3311407089304</v>
      </c>
      <c r="P5" s="201">
        <v>54911748.240000002</v>
      </c>
      <c r="Q5" s="201">
        <v>11017857.970000001</v>
      </c>
      <c r="R5" s="201">
        <v>16132308.24</v>
      </c>
      <c r="S5" s="201">
        <v>426184.32</v>
      </c>
      <c r="T5" s="201">
        <v>0</v>
      </c>
      <c r="U5" s="201">
        <v>0</v>
      </c>
      <c r="V5" s="201">
        <f t="shared" si="0"/>
        <v>82488098.769999996</v>
      </c>
      <c r="W5" s="201">
        <v>28429536</v>
      </c>
      <c r="X5" s="201">
        <v>54058562.770000003</v>
      </c>
      <c r="Y5" s="201">
        <v>0</v>
      </c>
      <c r="Z5" s="229">
        <f t="shared" si="1"/>
        <v>54058562.770000003</v>
      </c>
      <c r="AA5" s="201">
        <v>44026058.899999999</v>
      </c>
      <c r="AB5" s="201">
        <v>41708897.899999999</v>
      </c>
      <c r="AD5" s="196"/>
      <c r="AE5" s="197"/>
    </row>
    <row r="6" spans="1:31" s="195" customFormat="1" ht="13.5" customHeight="1" outlineLevel="2">
      <c r="A6" s="199">
        <v>501</v>
      </c>
      <c r="B6" s="199" t="s">
        <v>26</v>
      </c>
      <c r="C6" s="200" t="s">
        <v>27</v>
      </c>
      <c r="D6" s="200" t="s">
        <v>28</v>
      </c>
      <c r="E6" s="200" t="s">
        <v>33</v>
      </c>
      <c r="F6" s="200" t="s">
        <v>34</v>
      </c>
      <c r="G6" s="201">
        <v>1.1499999999999999</v>
      </c>
      <c r="H6" s="228">
        <v>49027</v>
      </c>
      <c r="I6" s="201">
        <v>1253.9827858118995</v>
      </c>
      <c r="J6" s="201">
        <v>251.60743712648133</v>
      </c>
      <c r="K6" s="202">
        <v>2365.1954999999998</v>
      </c>
      <c r="L6" s="202">
        <v>52.448999999999998</v>
      </c>
      <c r="M6" s="202">
        <v>0</v>
      </c>
      <c r="N6" s="202">
        <v>0</v>
      </c>
      <c r="O6" s="201">
        <v>7038.3311407089304</v>
      </c>
      <c r="P6" s="201">
        <v>61479014.039999999</v>
      </c>
      <c r="Q6" s="201">
        <v>12335557.82</v>
      </c>
      <c r="R6" s="201">
        <v>19144083.34</v>
      </c>
      <c r="S6" s="201">
        <v>503510.4</v>
      </c>
      <c r="T6" s="201">
        <v>0</v>
      </c>
      <c r="U6" s="201">
        <v>0</v>
      </c>
      <c r="V6" s="201">
        <f t="shared" si="0"/>
        <v>93462165.600000009</v>
      </c>
      <c r="W6" s="201">
        <v>32464321</v>
      </c>
      <c r="X6" s="201">
        <v>60997844.600000001</v>
      </c>
      <c r="Y6" s="201">
        <v>0</v>
      </c>
      <c r="Z6" s="229">
        <f t="shared" si="1"/>
        <v>60997844.600000001</v>
      </c>
      <c r="AA6" s="201">
        <v>51369655.240000002</v>
      </c>
      <c r="AB6" s="201">
        <v>48665989.18</v>
      </c>
      <c r="AD6" s="196"/>
      <c r="AE6" s="197"/>
    </row>
    <row r="7" spans="1:31" s="195" customFormat="1" ht="13.5" customHeight="1" outlineLevel="2">
      <c r="A7" s="199">
        <v>502</v>
      </c>
      <c r="B7" s="199" t="s">
        <v>26</v>
      </c>
      <c r="C7" s="200" t="s">
        <v>27</v>
      </c>
      <c r="D7" s="200" t="s">
        <v>28</v>
      </c>
      <c r="E7" s="200" t="s">
        <v>35</v>
      </c>
      <c r="F7" s="200" t="s">
        <v>36</v>
      </c>
      <c r="G7" s="201">
        <v>1.1499999999999999</v>
      </c>
      <c r="H7" s="228">
        <v>53969</v>
      </c>
      <c r="I7" s="201">
        <v>1220.0870279234375</v>
      </c>
      <c r="J7" s="201">
        <v>244.80636698845635</v>
      </c>
      <c r="K7" s="202">
        <v>5188.9453999999996</v>
      </c>
      <c r="L7" s="202">
        <v>76.522400000000005</v>
      </c>
      <c r="M7" s="202">
        <v>3.7869999999999999</v>
      </c>
      <c r="N7" s="202">
        <v>0</v>
      </c>
      <c r="O7" s="201">
        <v>7038.3311407089304</v>
      </c>
      <c r="P7" s="201">
        <v>65846876.810000002</v>
      </c>
      <c r="Q7" s="201">
        <v>13211954.82</v>
      </c>
      <c r="R7" s="201">
        <v>41999743.329999998</v>
      </c>
      <c r="S7" s="201">
        <v>734615.04000000004</v>
      </c>
      <c r="T7" s="201">
        <v>34083</v>
      </c>
      <c r="U7" s="201">
        <v>0</v>
      </c>
      <c r="V7" s="201">
        <f t="shared" si="0"/>
        <v>121827273</v>
      </c>
      <c r="W7" s="201">
        <v>48133371</v>
      </c>
      <c r="X7" s="201">
        <v>73693902</v>
      </c>
      <c r="Y7" s="201">
        <v>0</v>
      </c>
      <c r="Z7" s="229">
        <f t="shared" si="1"/>
        <v>73693902</v>
      </c>
      <c r="AA7" s="201">
        <v>66417823.18</v>
      </c>
      <c r="AB7" s="201">
        <v>62922148.270000003</v>
      </c>
      <c r="AD7" s="196"/>
      <c r="AE7" s="197"/>
    </row>
    <row r="8" spans="1:31" s="195" customFormat="1" ht="13.5" customHeight="1" outlineLevel="2">
      <c r="A8" s="199">
        <v>503</v>
      </c>
      <c r="B8" s="199" t="s">
        <v>26</v>
      </c>
      <c r="C8" s="200" t="s">
        <v>27</v>
      </c>
      <c r="D8" s="200" t="s">
        <v>28</v>
      </c>
      <c r="E8" s="200" t="s">
        <v>37</v>
      </c>
      <c r="F8" s="200" t="s">
        <v>38</v>
      </c>
      <c r="G8" s="201">
        <v>1.25</v>
      </c>
      <c r="H8" s="228">
        <v>31236</v>
      </c>
      <c r="I8" s="201">
        <v>1400.8454789345628</v>
      </c>
      <c r="J8" s="201">
        <v>281.07494333461392</v>
      </c>
      <c r="K8" s="202">
        <v>1959.0965000000001</v>
      </c>
      <c r="L8" s="202">
        <v>50.553899999999999</v>
      </c>
      <c r="M8" s="202">
        <v>0</v>
      </c>
      <c r="N8" s="202">
        <v>0</v>
      </c>
      <c r="O8" s="201">
        <v>7038.3311407089304</v>
      </c>
      <c r="P8" s="201">
        <v>43756809.380000003</v>
      </c>
      <c r="Q8" s="201">
        <v>8779656.9299999997</v>
      </c>
      <c r="R8" s="201">
        <v>17235962.199999999</v>
      </c>
      <c r="S8" s="201">
        <v>485317.44</v>
      </c>
      <c r="T8" s="201">
        <v>0</v>
      </c>
      <c r="U8" s="201">
        <v>0</v>
      </c>
      <c r="V8" s="201">
        <f t="shared" si="0"/>
        <v>70257745.950000003</v>
      </c>
      <c r="W8" s="201">
        <v>27864419</v>
      </c>
      <c r="X8" s="201">
        <v>42393326.950000003</v>
      </c>
      <c r="Y8" s="201">
        <v>0</v>
      </c>
      <c r="Z8" s="229">
        <f t="shared" si="1"/>
        <v>42393326.950000003</v>
      </c>
      <c r="AA8" s="201">
        <v>33769061.170000002</v>
      </c>
      <c r="AB8" s="201">
        <v>31991742.16</v>
      </c>
      <c r="AD8" s="196"/>
      <c r="AE8" s="197"/>
    </row>
    <row r="9" spans="1:31" s="195" customFormat="1" ht="13.5" customHeight="1" outlineLevel="2">
      <c r="A9" s="199">
        <v>504</v>
      </c>
      <c r="B9" s="199" t="s">
        <v>26</v>
      </c>
      <c r="C9" s="200" t="s">
        <v>27</v>
      </c>
      <c r="D9" s="200" t="s">
        <v>28</v>
      </c>
      <c r="E9" s="200" t="s">
        <v>39</v>
      </c>
      <c r="F9" s="200" t="s">
        <v>40</v>
      </c>
      <c r="G9" s="201">
        <v>1.25</v>
      </c>
      <c r="H9" s="228">
        <v>31262</v>
      </c>
      <c r="I9" s="201">
        <v>1400.5454635020153</v>
      </c>
      <c r="J9" s="201">
        <v>281.01474633740645</v>
      </c>
      <c r="K9" s="202">
        <v>2274.6538999999998</v>
      </c>
      <c r="L9" s="202">
        <v>49.365699999999997</v>
      </c>
      <c r="M9" s="202">
        <v>0</v>
      </c>
      <c r="N9" s="202">
        <v>0</v>
      </c>
      <c r="O9" s="201">
        <v>7038.3311407089304</v>
      </c>
      <c r="P9" s="201">
        <v>43783852.280000001</v>
      </c>
      <c r="Q9" s="201">
        <v>8785083</v>
      </c>
      <c r="R9" s="201">
        <v>20012209.399999999</v>
      </c>
      <c r="S9" s="201">
        <v>473910.72</v>
      </c>
      <c r="T9" s="201">
        <v>0</v>
      </c>
      <c r="U9" s="201">
        <v>0</v>
      </c>
      <c r="V9" s="201">
        <f t="shared" si="0"/>
        <v>73055055.400000006</v>
      </c>
      <c r="W9" s="201">
        <v>26086757</v>
      </c>
      <c r="X9" s="201">
        <v>46968298.399999999</v>
      </c>
      <c r="Y9" s="201">
        <v>0</v>
      </c>
      <c r="Z9" s="229">
        <f t="shared" si="1"/>
        <v>46968298.399999999</v>
      </c>
      <c r="AA9" s="201">
        <v>41823960.869999997</v>
      </c>
      <c r="AB9" s="201">
        <v>39622699.770000003</v>
      </c>
      <c r="AD9" s="196"/>
      <c r="AE9" s="197"/>
    </row>
    <row r="10" spans="1:31" s="195" customFormat="1" ht="13.5" customHeight="1" outlineLevel="2">
      <c r="A10" s="199">
        <v>505</v>
      </c>
      <c r="B10" s="199" t="s">
        <v>26</v>
      </c>
      <c r="C10" s="200" t="s">
        <v>27</v>
      </c>
      <c r="D10" s="200" t="s">
        <v>28</v>
      </c>
      <c r="E10" s="200" t="s">
        <v>41</v>
      </c>
      <c r="F10" s="200" t="s">
        <v>42</v>
      </c>
      <c r="G10" s="201">
        <v>1.25</v>
      </c>
      <c r="H10" s="228">
        <v>32117</v>
      </c>
      <c r="I10" s="201">
        <v>1390.950208923623</v>
      </c>
      <c r="J10" s="201">
        <v>279.08949061244823</v>
      </c>
      <c r="K10" s="202">
        <v>1504.6258</v>
      </c>
      <c r="L10" s="202">
        <v>23.980499999999999</v>
      </c>
      <c r="M10" s="202">
        <v>0</v>
      </c>
      <c r="N10" s="202">
        <v>0</v>
      </c>
      <c r="O10" s="201">
        <v>7038.3311407089304</v>
      </c>
      <c r="P10" s="201">
        <v>44673147.859999999</v>
      </c>
      <c r="Q10" s="201">
        <v>8963517.1699999999</v>
      </c>
      <c r="R10" s="201">
        <v>13237568.630000001</v>
      </c>
      <c r="S10" s="201">
        <v>230212.8</v>
      </c>
      <c r="T10" s="201">
        <v>0</v>
      </c>
      <c r="U10" s="201">
        <v>0</v>
      </c>
      <c r="V10" s="201">
        <f t="shared" si="0"/>
        <v>67104446.460000001</v>
      </c>
      <c r="W10" s="201">
        <v>26571048</v>
      </c>
      <c r="X10" s="201">
        <v>40533398.460000001</v>
      </c>
      <c r="Y10" s="201">
        <v>0</v>
      </c>
      <c r="Z10" s="229">
        <f t="shared" si="1"/>
        <v>40533398.460000001</v>
      </c>
      <c r="AA10" s="201">
        <v>36951909.200000003</v>
      </c>
      <c r="AB10" s="201">
        <v>35007071.880000003</v>
      </c>
      <c r="AD10" s="196"/>
      <c r="AE10" s="197"/>
    </row>
    <row r="11" spans="1:31" s="195" customFormat="1" ht="13.5" customHeight="1" outlineLevel="2">
      <c r="A11" s="199">
        <v>506</v>
      </c>
      <c r="B11" s="199" t="s">
        <v>26</v>
      </c>
      <c r="C11" s="200" t="s">
        <v>27</v>
      </c>
      <c r="D11" s="200" t="s">
        <v>28</v>
      </c>
      <c r="E11" s="200" t="s">
        <v>43</v>
      </c>
      <c r="F11" s="200" t="s">
        <v>44</v>
      </c>
      <c r="G11" s="201">
        <v>1.35</v>
      </c>
      <c r="H11" s="228">
        <v>11378</v>
      </c>
      <c r="I11" s="201">
        <v>1615.3514361047637</v>
      </c>
      <c r="J11" s="201">
        <v>324.1148444366321</v>
      </c>
      <c r="K11" s="202">
        <v>691.48199999999997</v>
      </c>
      <c r="L11" s="202">
        <v>14.2354</v>
      </c>
      <c r="M11" s="202">
        <v>0</v>
      </c>
      <c r="N11" s="202">
        <v>0</v>
      </c>
      <c r="O11" s="201">
        <v>7038.3311407089304</v>
      </c>
      <c r="P11" s="201">
        <v>18379468.640000001</v>
      </c>
      <c r="Q11" s="201">
        <v>3687778.7</v>
      </c>
      <c r="R11" s="201">
        <v>6570287.0499999998</v>
      </c>
      <c r="S11" s="201">
        <v>136659.84</v>
      </c>
      <c r="T11" s="201">
        <v>0</v>
      </c>
      <c r="U11" s="201">
        <v>0</v>
      </c>
      <c r="V11" s="201">
        <f t="shared" si="0"/>
        <v>28774194.23</v>
      </c>
      <c r="W11" s="201">
        <v>14468933</v>
      </c>
      <c r="X11" s="201">
        <v>14305261.23</v>
      </c>
      <c r="Y11" s="201">
        <v>3412126.06</v>
      </c>
      <c r="Z11" s="229">
        <f t="shared" si="1"/>
        <v>17717387.289999999</v>
      </c>
      <c r="AA11" s="201">
        <v>17717387.289999999</v>
      </c>
      <c r="AB11" s="201">
        <v>16784893.219999999</v>
      </c>
      <c r="AD11" s="196"/>
      <c r="AE11" s="197"/>
    </row>
    <row r="12" spans="1:31" s="195" customFormat="1" ht="13.5" customHeight="1" outlineLevel="1">
      <c r="A12" s="221"/>
      <c r="B12" s="221"/>
      <c r="C12" s="230"/>
      <c r="D12" s="223" t="s">
        <v>263</v>
      </c>
      <c r="E12" s="222"/>
      <c r="F12" s="222"/>
      <c r="G12" s="246"/>
      <c r="H12" s="247">
        <f>SUBTOTAL(9,H4:H11)</f>
        <v>328129</v>
      </c>
      <c r="I12" s="246"/>
      <c r="J12" s="246"/>
      <c r="K12" s="248">
        <f t="shared" ref="K12:AB12" si="2">SUBTOTAL(9,K4:K11)</f>
        <v>32900.746899999998</v>
      </c>
      <c r="L12" s="248">
        <f t="shared" si="2"/>
        <v>733.59119999999996</v>
      </c>
      <c r="M12" s="248">
        <f t="shared" si="2"/>
        <v>393.76389999999998</v>
      </c>
      <c r="N12" s="248">
        <f t="shared" si="2"/>
        <v>7.9749999999999996</v>
      </c>
      <c r="O12" s="246">
        <f t="shared" si="2"/>
        <v>56306.649125671436</v>
      </c>
      <c r="P12" s="246">
        <f t="shared" si="2"/>
        <v>417904217.06000006</v>
      </c>
      <c r="Q12" s="246">
        <f t="shared" si="2"/>
        <v>83851078.469999999</v>
      </c>
      <c r="R12" s="246">
        <f t="shared" si="2"/>
        <v>271985718.46999997</v>
      </c>
      <c r="S12" s="246">
        <f t="shared" si="2"/>
        <v>7042475.5200000005</v>
      </c>
      <c r="T12" s="246">
        <f t="shared" si="2"/>
        <v>3543875.1</v>
      </c>
      <c r="U12" s="246">
        <f t="shared" si="2"/>
        <v>95700</v>
      </c>
      <c r="V12" s="246">
        <f t="shared" si="2"/>
        <v>784423064.62000012</v>
      </c>
      <c r="W12" s="246">
        <f t="shared" si="2"/>
        <v>305395300</v>
      </c>
      <c r="X12" s="246">
        <f t="shared" si="2"/>
        <v>479027764.62</v>
      </c>
      <c r="Y12" s="246">
        <f t="shared" si="2"/>
        <v>3412126.06</v>
      </c>
      <c r="Z12" s="249">
        <f t="shared" si="2"/>
        <v>482439890.68000001</v>
      </c>
      <c r="AA12" s="246">
        <f t="shared" si="2"/>
        <v>416014081.76000005</v>
      </c>
      <c r="AB12" s="246">
        <f t="shared" si="2"/>
        <v>394118603.76999998</v>
      </c>
      <c r="AD12" s="196"/>
      <c r="AE12" s="197"/>
    </row>
    <row r="13" spans="1:31" s="195" customFormat="1" ht="13.5" customHeight="1" outlineLevel="2">
      <c r="A13" s="211">
        <v>507</v>
      </c>
      <c r="B13" s="211" t="s">
        <v>26</v>
      </c>
      <c r="C13" s="212" t="s">
        <v>45</v>
      </c>
      <c r="D13" s="212" t="s">
        <v>46</v>
      </c>
      <c r="E13" s="212" t="s">
        <v>47</v>
      </c>
      <c r="F13" s="212" t="s">
        <v>48</v>
      </c>
      <c r="G13" s="231">
        <v>1.1000000000000001</v>
      </c>
      <c r="H13" s="232">
        <v>101244</v>
      </c>
      <c r="I13" s="231">
        <v>1082.8916963968236</v>
      </c>
      <c r="J13" s="231">
        <v>209.40828671328669</v>
      </c>
      <c r="K13" s="233">
        <v>22667</v>
      </c>
      <c r="L13" s="233">
        <v>595.24159999999995</v>
      </c>
      <c r="M13" s="233">
        <v>817.36379999999986</v>
      </c>
      <c r="N13" s="233">
        <v>35.215299999999999</v>
      </c>
      <c r="O13" s="231">
        <v>7038.3311407089304</v>
      </c>
      <c r="P13" s="231">
        <v>109636286.91</v>
      </c>
      <c r="Q13" s="231">
        <v>21201332.579999998</v>
      </c>
      <c r="R13" s="231">
        <v>175491637.16</v>
      </c>
      <c r="S13" s="231">
        <v>5714319.3600000003</v>
      </c>
      <c r="T13" s="231">
        <v>7356274.2000000002</v>
      </c>
      <c r="U13" s="231">
        <v>422583.6</v>
      </c>
      <c r="V13" s="231">
        <f t="shared" si="0"/>
        <v>319822433.81</v>
      </c>
      <c r="W13" s="231">
        <v>167124155</v>
      </c>
      <c r="X13" s="231">
        <v>152698278.81</v>
      </c>
      <c r="Y13" s="201">
        <v>0</v>
      </c>
      <c r="Z13" s="234">
        <f t="shared" si="1"/>
        <v>152698278.81</v>
      </c>
      <c r="AA13" s="231">
        <v>141294727.50999999</v>
      </c>
      <c r="AB13" s="231">
        <v>133858162.91</v>
      </c>
      <c r="AD13" s="196"/>
      <c r="AE13" s="197"/>
    </row>
    <row r="14" spans="1:31" s="195" customFormat="1" ht="13.5" customHeight="1" outlineLevel="2">
      <c r="A14" s="199">
        <v>508</v>
      </c>
      <c r="B14" s="199" t="s">
        <v>26</v>
      </c>
      <c r="C14" s="200" t="s">
        <v>45</v>
      </c>
      <c r="D14" s="200" t="s">
        <v>46</v>
      </c>
      <c r="E14" s="200" t="s">
        <v>49</v>
      </c>
      <c r="F14" s="200" t="s">
        <v>50</v>
      </c>
      <c r="G14" s="201">
        <v>1.1000000000000001</v>
      </c>
      <c r="H14" s="228">
        <v>69632</v>
      </c>
      <c r="I14" s="201">
        <v>1189.833367991728</v>
      </c>
      <c r="J14" s="201">
        <v>230.08853802849265</v>
      </c>
      <c r="K14" s="202">
        <v>3318.1509999999998</v>
      </c>
      <c r="L14" s="202">
        <v>94.749399999999994</v>
      </c>
      <c r="M14" s="202">
        <v>0</v>
      </c>
      <c r="N14" s="202">
        <v>0</v>
      </c>
      <c r="O14" s="201">
        <v>7038.3311407089304</v>
      </c>
      <c r="P14" s="201">
        <v>82850477.079999998</v>
      </c>
      <c r="Q14" s="201">
        <v>16021525.08</v>
      </c>
      <c r="R14" s="201">
        <v>25689670.059999999</v>
      </c>
      <c r="S14" s="201">
        <v>909594.24</v>
      </c>
      <c r="T14" s="201">
        <v>0</v>
      </c>
      <c r="U14" s="201">
        <v>0</v>
      </c>
      <c r="V14" s="201">
        <f t="shared" si="0"/>
        <v>125471266.45999999</v>
      </c>
      <c r="W14" s="201">
        <v>50080373</v>
      </c>
      <c r="X14" s="201">
        <v>75390893.459999993</v>
      </c>
      <c r="Y14" s="201">
        <v>0</v>
      </c>
      <c r="Z14" s="229">
        <f t="shared" si="1"/>
        <v>75390893.459999993</v>
      </c>
      <c r="AA14" s="201">
        <v>61157984.479999997</v>
      </c>
      <c r="AB14" s="201">
        <v>57939143.189999998</v>
      </c>
      <c r="AD14" s="196"/>
      <c r="AE14" s="197"/>
    </row>
    <row r="15" spans="1:31" s="195" customFormat="1" ht="13.5" customHeight="1" outlineLevel="2">
      <c r="A15" s="199">
        <v>509</v>
      </c>
      <c r="B15" s="199" t="s">
        <v>26</v>
      </c>
      <c r="C15" s="200" t="s">
        <v>45</v>
      </c>
      <c r="D15" s="200" t="s">
        <v>46</v>
      </c>
      <c r="E15" s="200" t="s">
        <v>51</v>
      </c>
      <c r="F15" s="200" t="s">
        <v>52</v>
      </c>
      <c r="G15" s="201">
        <v>1.2</v>
      </c>
      <c r="H15" s="228">
        <v>47426</v>
      </c>
      <c r="I15" s="201">
        <v>1325.6501438029773</v>
      </c>
      <c r="J15" s="201">
        <v>256.35262176865012</v>
      </c>
      <c r="K15" s="202">
        <v>1847.4011</v>
      </c>
      <c r="L15" s="202">
        <v>44.162300000000002</v>
      </c>
      <c r="M15" s="202">
        <v>0</v>
      </c>
      <c r="N15" s="202">
        <v>0</v>
      </c>
      <c r="O15" s="201">
        <v>7038.3311407089304</v>
      </c>
      <c r="P15" s="201">
        <v>62870283.719999999</v>
      </c>
      <c r="Q15" s="201">
        <v>12157779.439999999</v>
      </c>
      <c r="R15" s="201">
        <v>15603144.689999999</v>
      </c>
      <c r="S15" s="201">
        <v>423958.08</v>
      </c>
      <c r="T15" s="201">
        <v>0</v>
      </c>
      <c r="U15" s="201">
        <v>0</v>
      </c>
      <c r="V15" s="201">
        <f t="shared" si="0"/>
        <v>91055165.929999992</v>
      </c>
      <c r="W15" s="201">
        <v>37514596</v>
      </c>
      <c r="X15" s="201">
        <v>53540569.93</v>
      </c>
      <c r="Y15" s="201">
        <v>0</v>
      </c>
      <c r="Z15" s="229">
        <f t="shared" si="1"/>
        <v>53540569.93</v>
      </c>
      <c r="AA15" s="201">
        <v>44103371.259999998</v>
      </c>
      <c r="AB15" s="201">
        <v>41782141.200000003</v>
      </c>
      <c r="AD15" s="196"/>
      <c r="AE15" s="197"/>
    </row>
    <row r="16" spans="1:31" s="195" customFormat="1" ht="13.5" customHeight="1" outlineLevel="2">
      <c r="A16" s="199">
        <v>510</v>
      </c>
      <c r="B16" s="199" t="s">
        <v>26</v>
      </c>
      <c r="C16" s="200" t="s">
        <v>45</v>
      </c>
      <c r="D16" s="200" t="s">
        <v>46</v>
      </c>
      <c r="E16" s="200" t="s">
        <v>53</v>
      </c>
      <c r="F16" s="200" t="s">
        <v>54</v>
      </c>
      <c r="G16" s="201">
        <v>1.1000000000000001</v>
      </c>
      <c r="H16" s="228">
        <v>82479</v>
      </c>
      <c r="I16" s="201">
        <v>1139.0026890481215</v>
      </c>
      <c r="J16" s="201">
        <v>220.25896264503692</v>
      </c>
      <c r="K16" s="202">
        <v>4798.1688999999997</v>
      </c>
      <c r="L16" s="202">
        <v>221.82910000000001</v>
      </c>
      <c r="M16" s="202">
        <v>0</v>
      </c>
      <c r="N16" s="202">
        <v>0</v>
      </c>
      <c r="O16" s="201">
        <v>7038.3311407089304</v>
      </c>
      <c r="P16" s="201">
        <v>93943802.790000007</v>
      </c>
      <c r="Q16" s="201">
        <v>18166738.98</v>
      </c>
      <c r="R16" s="201">
        <v>37148211.82</v>
      </c>
      <c r="S16" s="201">
        <v>2129559.36</v>
      </c>
      <c r="T16" s="201">
        <v>0</v>
      </c>
      <c r="U16" s="201">
        <v>0</v>
      </c>
      <c r="V16" s="201">
        <f t="shared" si="0"/>
        <v>151388312.95000002</v>
      </c>
      <c r="W16" s="201">
        <v>56912063</v>
      </c>
      <c r="X16" s="201">
        <v>94476249.950000003</v>
      </c>
      <c r="Y16" s="201">
        <v>0</v>
      </c>
      <c r="Z16" s="229">
        <f t="shared" si="1"/>
        <v>94476249.950000003</v>
      </c>
      <c r="AA16" s="201">
        <v>80772087.849999994</v>
      </c>
      <c r="AB16" s="201">
        <v>76520925.329999998</v>
      </c>
      <c r="AD16" s="196"/>
      <c r="AE16" s="197"/>
    </row>
    <row r="17" spans="1:31" s="195" customFormat="1" ht="13.5" customHeight="1" outlineLevel="2">
      <c r="A17" s="199">
        <v>511</v>
      </c>
      <c r="B17" s="199" t="s">
        <v>26</v>
      </c>
      <c r="C17" s="200" t="s">
        <v>45</v>
      </c>
      <c r="D17" s="200" t="s">
        <v>46</v>
      </c>
      <c r="E17" s="200" t="s">
        <v>55</v>
      </c>
      <c r="F17" s="200" t="s">
        <v>56</v>
      </c>
      <c r="G17" s="201">
        <v>1.1499999999999999</v>
      </c>
      <c r="H17" s="228">
        <v>53723</v>
      </c>
      <c r="I17" s="201">
        <v>1281.1618260335424</v>
      </c>
      <c r="J17" s="201">
        <v>247.74952459840293</v>
      </c>
      <c r="K17" s="202">
        <v>2332.6136000000001</v>
      </c>
      <c r="L17" s="202">
        <v>53.698</v>
      </c>
      <c r="M17" s="202">
        <v>0</v>
      </c>
      <c r="N17" s="202">
        <v>0</v>
      </c>
      <c r="O17" s="201">
        <v>7038.3311407089304</v>
      </c>
      <c r="P17" s="201">
        <v>68827856.780000001</v>
      </c>
      <c r="Q17" s="201">
        <v>13309847.710000001</v>
      </c>
      <c r="R17" s="201">
        <v>18880362.699999999</v>
      </c>
      <c r="S17" s="201">
        <v>515500.79999999999</v>
      </c>
      <c r="T17" s="201">
        <v>0</v>
      </c>
      <c r="U17" s="201">
        <v>0</v>
      </c>
      <c r="V17" s="201">
        <f t="shared" si="0"/>
        <v>101533567.99000001</v>
      </c>
      <c r="W17" s="201">
        <v>36102465</v>
      </c>
      <c r="X17" s="201">
        <v>65431102.990000002</v>
      </c>
      <c r="Y17" s="201">
        <v>0</v>
      </c>
      <c r="Z17" s="229">
        <f t="shared" si="1"/>
        <v>65431102.990000002</v>
      </c>
      <c r="AA17" s="201">
        <v>55633640.189999998</v>
      </c>
      <c r="AB17" s="201">
        <v>52705553.869999997</v>
      </c>
      <c r="AD17" s="196"/>
      <c r="AE17" s="197"/>
    </row>
    <row r="18" spans="1:31" s="195" customFormat="1" ht="13.5" customHeight="1" outlineLevel="2">
      <c r="A18" s="199">
        <v>512</v>
      </c>
      <c r="B18" s="199" t="s">
        <v>26</v>
      </c>
      <c r="C18" s="200" t="s">
        <v>45</v>
      </c>
      <c r="D18" s="200" t="s">
        <v>46</v>
      </c>
      <c r="E18" s="200" t="s">
        <v>57</v>
      </c>
      <c r="F18" s="200" t="s">
        <v>58</v>
      </c>
      <c r="G18" s="201">
        <v>1.3</v>
      </c>
      <c r="H18" s="228">
        <v>28992</v>
      </c>
      <c r="I18" s="201">
        <v>1491.980037941501</v>
      </c>
      <c r="J18" s="201">
        <v>288.51729546081674</v>
      </c>
      <c r="K18" s="202">
        <v>1602.3444</v>
      </c>
      <c r="L18" s="202">
        <v>22.819800000000001</v>
      </c>
      <c r="M18" s="202">
        <v>0</v>
      </c>
      <c r="N18" s="202">
        <v>0</v>
      </c>
      <c r="O18" s="201">
        <v>7038.3311407089304</v>
      </c>
      <c r="P18" s="201">
        <v>43255485.259999998</v>
      </c>
      <c r="Q18" s="201">
        <v>8364693.4299999997</v>
      </c>
      <c r="R18" s="201">
        <v>14661179.49</v>
      </c>
      <c r="S18" s="201">
        <v>219070.07999999999</v>
      </c>
      <c r="T18" s="201">
        <v>0</v>
      </c>
      <c r="U18" s="201">
        <v>0</v>
      </c>
      <c r="V18" s="201">
        <f t="shared" si="0"/>
        <v>66500428.259999998</v>
      </c>
      <c r="W18" s="201">
        <v>22396448</v>
      </c>
      <c r="X18" s="201">
        <v>44103980.259999998</v>
      </c>
      <c r="Y18" s="201">
        <v>0</v>
      </c>
      <c r="Z18" s="229">
        <f t="shared" si="1"/>
        <v>44103980.259999998</v>
      </c>
      <c r="AA18" s="201">
        <v>35818298.969999999</v>
      </c>
      <c r="AB18" s="201">
        <v>33933125.340000004</v>
      </c>
      <c r="AD18" s="196"/>
      <c r="AE18" s="197"/>
    </row>
    <row r="19" spans="1:31" s="195" customFormat="1" ht="13.5" customHeight="1" outlineLevel="1">
      <c r="A19" s="221"/>
      <c r="B19" s="221"/>
      <c r="C19" s="230"/>
      <c r="D19" s="223" t="s">
        <v>264</v>
      </c>
      <c r="E19" s="222"/>
      <c r="F19" s="222"/>
      <c r="G19" s="246"/>
      <c r="H19" s="247">
        <f>SUBTOTAL(9,H13:H18)</f>
        <v>383496</v>
      </c>
      <c r="I19" s="246"/>
      <c r="J19" s="246"/>
      <c r="K19" s="248">
        <f t="shared" ref="K19:AB19" si="3">SUBTOTAL(9,K13:K18)</f>
        <v>36565.678999999996</v>
      </c>
      <c r="L19" s="248">
        <f t="shared" si="3"/>
        <v>1032.5001999999999</v>
      </c>
      <c r="M19" s="248">
        <f t="shared" si="3"/>
        <v>817.36379999999986</v>
      </c>
      <c r="N19" s="248">
        <f t="shared" si="3"/>
        <v>35.215299999999999</v>
      </c>
      <c r="O19" s="246">
        <f t="shared" si="3"/>
        <v>42229.986844253581</v>
      </c>
      <c r="P19" s="246">
        <f t="shared" si="3"/>
        <v>461384192.53999996</v>
      </c>
      <c r="Q19" s="246">
        <f t="shared" si="3"/>
        <v>89221917.219999999</v>
      </c>
      <c r="R19" s="246">
        <f t="shared" si="3"/>
        <v>287474205.92000002</v>
      </c>
      <c r="S19" s="246">
        <f t="shared" si="3"/>
        <v>9912001.9200000018</v>
      </c>
      <c r="T19" s="246">
        <f t="shared" si="3"/>
        <v>7356274.2000000002</v>
      </c>
      <c r="U19" s="246">
        <f t="shared" si="3"/>
        <v>422583.6</v>
      </c>
      <c r="V19" s="246">
        <f t="shared" si="3"/>
        <v>855771175.39999998</v>
      </c>
      <c r="W19" s="246">
        <f t="shared" si="3"/>
        <v>370130100</v>
      </c>
      <c r="X19" s="246">
        <f t="shared" si="3"/>
        <v>485641075.39999998</v>
      </c>
      <c r="Y19" s="246">
        <f t="shared" si="3"/>
        <v>0</v>
      </c>
      <c r="Z19" s="249">
        <f t="shared" si="3"/>
        <v>485641075.39999998</v>
      </c>
      <c r="AA19" s="246">
        <f t="shared" si="3"/>
        <v>418780110.25999999</v>
      </c>
      <c r="AB19" s="246">
        <f t="shared" si="3"/>
        <v>396739051.84000003</v>
      </c>
      <c r="AD19" s="196"/>
      <c r="AE19" s="197"/>
    </row>
    <row r="20" spans="1:31" s="195" customFormat="1" ht="13.5" customHeight="1" outlineLevel="2">
      <c r="A20" s="211">
        <v>513</v>
      </c>
      <c r="B20" s="211" t="s">
        <v>26</v>
      </c>
      <c r="C20" s="212" t="s">
        <v>59</v>
      </c>
      <c r="D20" s="212" t="s">
        <v>60</v>
      </c>
      <c r="E20" s="212" t="s">
        <v>61</v>
      </c>
      <c r="F20" s="212" t="s">
        <v>62</v>
      </c>
      <c r="G20" s="231">
        <v>1</v>
      </c>
      <c r="H20" s="232">
        <v>259303</v>
      </c>
      <c r="I20" s="231">
        <v>866.31744426404634</v>
      </c>
      <c r="J20" s="231">
        <v>169.7980651207275</v>
      </c>
      <c r="K20" s="233">
        <v>118240.8075</v>
      </c>
      <c r="L20" s="233">
        <v>2770.3712999999998</v>
      </c>
      <c r="M20" s="233">
        <v>2617.2200999999991</v>
      </c>
      <c r="N20" s="233">
        <v>397.06099999999992</v>
      </c>
      <c r="O20" s="231">
        <v>7038.3311407089304</v>
      </c>
      <c r="P20" s="231">
        <v>224638712.25</v>
      </c>
      <c r="Q20" s="231">
        <v>44029147.68</v>
      </c>
      <c r="R20" s="231">
        <v>832217957.52999997</v>
      </c>
      <c r="S20" s="231">
        <v>26595564.48</v>
      </c>
      <c r="T20" s="231">
        <v>23554980.899999999</v>
      </c>
      <c r="U20" s="231">
        <v>4764732</v>
      </c>
      <c r="V20" s="231">
        <f t="shared" si="0"/>
        <v>1155801094.8400002</v>
      </c>
      <c r="W20" s="231">
        <v>556539290</v>
      </c>
      <c r="X20" s="231">
        <v>599261804.84000003</v>
      </c>
      <c r="Y20" s="201">
        <v>0</v>
      </c>
      <c r="Z20" s="234">
        <f t="shared" si="1"/>
        <v>599261804.84000003</v>
      </c>
      <c r="AA20" s="231">
        <v>590019395.14999998</v>
      </c>
      <c r="AB20" s="231">
        <v>558965742.77999997</v>
      </c>
      <c r="AD20" s="196"/>
      <c r="AE20" s="197"/>
    </row>
    <row r="21" spans="1:31" s="195" customFormat="1" ht="13.5" customHeight="1" outlineLevel="2">
      <c r="A21" s="199">
        <v>514</v>
      </c>
      <c r="B21" s="199" t="s">
        <v>26</v>
      </c>
      <c r="C21" s="200" t="s">
        <v>59</v>
      </c>
      <c r="D21" s="200" t="s">
        <v>60</v>
      </c>
      <c r="E21" s="200" t="s">
        <v>63</v>
      </c>
      <c r="F21" s="200" t="s">
        <v>64</v>
      </c>
      <c r="G21" s="201">
        <v>1.1499999999999999</v>
      </c>
      <c r="H21" s="228">
        <v>51596</v>
      </c>
      <c r="I21" s="201">
        <v>1279.4252589348011</v>
      </c>
      <c r="J21" s="201">
        <v>250.76712342042018</v>
      </c>
      <c r="K21" s="202">
        <v>2591.1801999999998</v>
      </c>
      <c r="L21" s="202">
        <v>36.265500000000003</v>
      </c>
      <c r="M21" s="202">
        <v>0</v>
      </c>
      <c r="N21" s="202">
        <v>0</v>
      </c>
      <c r="O21" s="201">
        <v>7038.3311407089304</v>
      </c>
      <c r="P21" s="201">
        <v>66013225.659999996</v>
      </c>
      <c r="Q21" s="201">
        <v>12938580.5</v>
      </c>
      <c r="R21" s="201">
        <v>20973221.73</v>
      </c>
      <c r="S21" s="201">
        <v>348148.8</v>
      </c>
      <c r="T21" s="201">
        <v>0</v>
      </c>
      <c r="U21" s="201">
        <v>0</v>
      </c>
      <c r="V21" s="201">
        <f t="shared" ref="V21:V88" si="4">SUM(P21:U21)</f>
        <v>100273176.69</v>
      </c>
      <c r="W21" s="201">
        <v>36187669</v>
      </c>
      <c r="X21" s="201">
        <v>64085507.689999998</v>
      </c>
      <c r="Y21" s="201">
        <v>0</v>
      </c>
      <c r="Z21" s="229">
        <f t="shared" ref="Z21:Z88" si="5">X21+Y21</f>
        <v>64085507.689999998</v>
      </c>
      <c r="AA21" s="201">
        <v>46377825.270000003</v>
      </c>
      <c r="AB21" s="201">
        <v>43936887.100000001</v>
      </c>
      <c r="AD21" s="196"/>
      <c r="AE21" s="197"/>
    </row>
    <row r="22" spans="1:31" s="195" customFormat="1" ht="13.5" customHeight="1" outlineLevel="2">
      <c r="A22" s="199">
        <v>515</v>
      </c>
      <c r="B22" s="199" t="s">
        <v>26</v>
      </c>
      <c r="C22" s="200" t="s">
        <v>59</v>
      </c>
      <c r="D22" s="200" t="s">
        <v>60</v>
      </c>
      <c r="E22" s="200" t="s">
        <v>65</v>
      </c>
      <c r="F22" s="200" t="s">
        <v>66</v>
      </c>
      <c r="G22" s="201">
        <v>1.2</v>
      </c>
      <c r="H22" s="228">
        <v>49836</v>
      </c>
      <c r="I22" s="201">
        <v>1292.636898226182</v>
      </c>
      <c r="J22" s="201">
        <v>253.35660225539772</v>
      </c>
      <c r="K22" s="202">
        <v>2295.5652</v>
      </c>
      <c r="L22" s="202">
        <v>47.308300000000003</v>
      </c>
      <c r="M22" s="202">
        <v>0</v>
      </c>
      <c r="N22" s="202">
        <v>0</v>
      </c>
      <c r="O22" s="201">
        <v>7038.3311407089304</v>
      </c>
      <c r="P22" s="201">
        <v>64419852.460000001</v>
      </c>
      <c r="Q22" s="201">
        <v>12626279.630000001</v>
      </c>
      <c r="R22" s="201">
        <v>19388337.359999999</v>
      </c>
      <c r="S22" s="201">
        <v>454159.68</v>
      </c>
      <c r="T22" s="201">
        <v>0</v>
      </c>
      <c r="U22" s="201">
        <v>0</v>
      </c>
      <c r="V22" s="201">
        <f t="shared" si="4"/>
        <v>96888629.13000001</v>
      </c>
      <c r="W22" s="201">
        <v>44219391</v>
      </c>
      <c r="X22" s="201">
        <v>52669238.130000003</v>
      </c>
      <c r="Y22" s="201">
        <v>0</v>
      </c>
      <c r="Z22" s="229">
        <f t="shared" si="5"/>
        <v>52669238.130000003</v>
      </c>
      <c r="AA22" s="201">
        <v>44410128.259999998</v>
      </c>
      <c r="AB22" s="201">
        <v>42072753.090000004</v>
      </c>
      <c r="AD22" s="196"/>
      <c r="AE22" s="197"/>
    </row>
    <row r="23" spans="1:31" s="195" customFormat="1" ht="13.5" customHeight="1" outlineLevel="2">
      <c r="A23" s="199">
        <v>516</v>
      </c>
      <c r="B23" s="199" t="s">
        <v>26</v>
      </c>
      <c r="C23" s="200" t="s">
        <v>59</v>
      </c>
      <c r="D23" s="200" t="s">
        <v>60</v>
      </c>
      <c r="E23" s="200" t="s">
        <v>67</v>
      </c>
      <c r="F23" s="200" t="s">
        <v>68</v>
      </c>
      <c r="G23" s="201">
        <v>1.1499999999999999</v>
      </c>
      <c r="H23" s="228">
        <v>84429</v>
      </c>
      <c r="I23" s="201">
        <v>1117.7173840741925</v>
      </c>
      <c r="J23" s="201">
        <v>219.07240865105592</v>
      </c>
      <c r="K23" s="202">
        <v>13595.438</v>
      </c>
      <c r="L23" s="202">
        <v>381.3956</v>
      </c>
      <c r="M23" s="202">
        <v>18.091799999999999</v>
      </c>
      <c r="N23" s="202">
        <v>0</v>
      </c>
      <c r="O23" s="201">
        <v>7038.3311407089304</v>
      </c>
      <c r="P23" s="201">
        <v>94367761.019999996</v>
      </c>
      <c r="Q23" s="201">
        <v>18496064.390000001</v>
      </c>
      <c r="R23" s="201">
        <v>110042573.84</v>
      </c>
      <c r="S23" s="201">
        <v>3661397.76</v>
      </c>
      <c r="T23" s="201">
        <v>162826.20000000001</v>
      </c>
      <c r="U23" s="201">
        <v>0</v>
      </c>
      <c r="V23" s="201">
        <f t="shared" si="4"/>
        <v>226730623.20999998</v>
      </c>
      <c r="W23" s="201">
        <v>109031439</v>
      </c>
      <c r="X23" s="201">
        <v>117699184.20999999</v>
      </c>
      <c r="Y23" s="201">
        <v>0</v>
      </c>
      <c r="Z23" s="229">
        <f t="shared" si="5"/>
        <v>117699184.20999999</v>
      </c>
      <c r="AA23" s="201">
        <v>101232439.68000001</v>
      </c>
      <c r="AB23" s="201">
        <v>95904416.540000007</v>
      </c>
      <c r="AD23" s="196"/>
      <c r="AE23" s="197"/>
    </row>
    <row r="24" spans="1:31" s="195" customFormat="1" ht="13.5" customHeight="1" outlineLevel="2">
      <c r="A24" s="199">
        <v>517</v>
      </c>
      <c r="B24" s="199" t="s">
        <v>26</v>
      </c>
      <c r="C24" s="200" t="s">
        <v>59</v>
      </c>
      <c r="D24" s="200" t="s">
        <v>60</v>
      </c>
      <c r="E24" s="200" t="s">
        <v>69</v>
      </c>
      <c r="F24" s="200" t="s">
        <v>70</v>
      </c>
      <c r="G24" s="201">
        <v>1.5</v>
      </c>
      <c r="H24" s="228">
        <v>4065</v>
      </c>
      <c r="I24" s="201">
        <v>1793.9351512915127</v>
      </c>
      <c r="J24" s="201">
        <v>351.61097170971715</v>
      </c>
      <c r="K24" s="202">
        <v>0</v>
      </c>
      <c r="L24" s="202">
        <v>0</v>
      </c>
      <c r="M24" s="202">
        <v>0</v>
      </c>
      <c r="N24" s="202">
        <v>0</v>
      </c>
      <c r="O24" s="201">
        <v>7038.3311407089304</v>
      </c>
      <c r="P24" s="201">
        <v>7292346.3899999997</v>
      </c>
      <c r="Q24" s="201">
        <v>1429298.6</v>
      </c>
      <c r="R24" s="201">
        <v>0</v>
      </c>
      <c r="S24" s="201">
        <v>0</v>
      </c>
      <c r="T24" s="201">
        <v>0</v>
      </c>
      <c r="U24" s="201">
        <v>0</v>
      </c>
      <c r="V24" s="201">
        <f t="shared" si="4"/>
        <v>8721644.9900000002</v>
      </c>
      <c r="W24" s="201">
        <v>8547408</v>
      </c>
      <c r="X24" s="201">
        <v>174236.99</v>
      </c>
      <c r="Y24" s="201">
        <v>9825763.0099999998</v>
      </c>
      <c r="Z24" s="229">
        <f t="shared" si="5"/>
        <v>10000000</v>
      </c>
      <c r="AA24" s="201">
        <v>10000000</v>
      </c>
      <c r="AB24" s="201">
        <v>9000000</v>
      </c>
      <c r="AD24" s="196"/>
      <c r="AE24" s="197"/>
    </row>
    <row r="25" spans="1:31" s="195" customFormat="1" ht="13.5" customHeight="1" outlineLevel="2">
      <c r="A25" s="199">
        <v>518</v>
      </c>
      <c r="B25" s="199" t="s">
        <v>26</v>
      </c>
      <c r="C25" s="200" t="s">
        <v>59</v>
      </c>
      <c r="D25" s="200" t="s">
        <v>60</v>
      </c>
      <c r="E25" s="200" t="s">
        <v>71</v>
      </c>
      <c r="F25" s="200" t="s">
        <v>72</v>
      </c>
      <c r="G25" s="201">
        <v>1.25</v>
      </c>
      <c r="H25" s="228">
        <v>36898</v>
      </c>
      <c r="I25" s="201">
        <v>1392.3830554501599</v>
      </c>
      <c r="J25" s="201">
        <v>272.90683126456719</v>
      </c>
      <c r="K25" s="202">
        <v>2169.4890999999998</v>
      </c>
      <c r="L25" s="202">
        <v>34.862499999999997</v>
      </c>
      <c r="M25" s="202">
        <v>6.1119000000000003</v>
      </c>
      <c r="N25" s="202">
        <v>0</v>
      </c>
      <c r="O25" s="201">
        <v>7038.3311407089304</v>
      </c>
      <c r="P25" s="201">
        <v>51376149.979999997</v>
      </c>
      <c r="Q25" s="201">
        <v>10069716.26</v>
      </c>
      <c r="R25" s="201">
        <v>19086978.539999999</v>
      </c>
      <c r="S25" s="201">
        <v>334680</v>
      </c>
      <c r="T25" s="201">
        <v>55007.1</v>
      </c>
      <c r="U25" s="201">
        <v>0</v>
      </c>
      <c r="V25" s="201">
        <f t="shared" si="4"/>
        <v>80922531.879999995</v>
      </c>
      <c r="W25" s="201">
        <v>30716205</v>
      </c>
      <c r="X25" s="201">
        <v>50206326.880000003</v>
      </c>
      <c r="Y25" s="201">
        <v>0</v>
      </c>
      <c r="Z25" s="229">
        <f t="shared" si="5"/>
        <v>50206326.880000003</v>
      </c>
      <c r="AA25" s="201">
        <v>37968515.210000001</v>
      </c>
      <c r="AB25" s="201">
        <v>35970172.310000002</v>
      </c>
      <c r="AD25" s="196"/>
      <c r="AE25" s="197"/>
    </row>
    <row r="26" spans="1:31" s="195" customFormat="1" ht="13.5" customHeight="1" outlineLevel="2">
      <c r="A26" s="199">
        <v>519</v>
      </c>
      <c r="B26" s="199" t="s">
        <v>26</v>
      </c>
      <c r="C26" s="200" t="s">
        <v>59</v>
      </c>
      <c r="D26" s="200" t="s">
        <v>60</v>
      </c>
      <c r="E26" s="200" t="s">
        <v>73</v>
      </c>
      <c r="F26" s="200" t="s">
        <v>74</v>
      </c>
      <c r="G26" s="201">
        <v>1.1000000000000001</v>
      </c>
      <c r="H26" s="228">
        <v>91589</v>
      </c>
      <c r="I26" s="201">
        <v>1096.1760734367665</v>
      </c>
      <c r="J26" s="201">
        <v>214.85031554007577</v>
      </c>
      <c r="K26" s="202">
        <v>6241.1603999999998</v>
      </c>
      <c r="L26" s="202">
        <v>88.013599999999997</v>
      </c>
      <c r="M26" s="202">
        <v>8.5539000000000005</v>
      </c>
      <c r="N26" s="202">
        <v>0</v>
      </c>
      <c r="O26" s="201">
        <v>7038.3311407089304</v>
      </c>
      <c r="P26" s="201">
        <v>100397670.39</v>
      </c>
      <c r="Q26" s="201">
        <v>19677925.550000001</v>
      </c>
      <c r="R26" s="201">
        <v>48320088.68</v>
      </c>
      <c r="S26" s="201">
        <v>844930.56000000006</v>
      </c>
      <c r="T26" s="201">
        <v>76985.100000000006</v>
      </c>
      <c r="U26" s="201">
        <v>0</v>
      </c>
      <c r="V26" s="201">
        <f t="shared" si="4"/>
        <v>169317600.28</v>
      </c>
      <c r="W26" s="201">
        <v>76273078</v>
      </c>
      <c r="X26" s="201">
        <v>93044522.280000001</v>
      </c>
      <c r="Y26" s="201">
        <v>0</v>
      </c>
      <c r="Z26" s="229">
        <f t="shared" si="5"/>
        <v>93044522.280000001</v>
      </c>
      <c r="AA26" s="201">
        <v>82416556.819999993</v>
      </c>
      <c r="AB26" s="201">
        <v>78078843.310000002</v>
      </c>
      <c r="AD26" s="196"/>
      <c r="AE26" s="197"/>
    </row>
    <row r="27" spans="1:31" s="195" customFormat="1" ht="13.5" customHeight="1" outlineLevel="2">
      <c r="A27" s="199">
        <v>520</v>
      </c>
      <c r="B27" s="199" t="s">
        <v>26</v>
      </c>
      <c r="C27" s="200" t="s">
        <v>59</v>
      </c>
      <c r="D27" s="200" t="s">
        <v>60</v>
      </c>
      <c r="E27" s="200" t="s">
        <v>75</v>
      </c>
      <c r="F27" s="200" t="s">
        <v>76</v>
      </c>
      <c r="G27" s="201">
        <v>1.3</v>
      </c>
      <c r="H27" s="228">
        <v>25183</v>
      </c>
      <c r="I27" s="201">
        <v>1505.0804610252949</v>
      </c>
      <c r="J27" s="201">
        <v>294.99550252154233</v>
      </c>
      <c r="K27" s="202">
        <v>1172.5636</v>
      </c>
      <c r="L27" s="202">
        <v>12.6966</v>
      </c>
      <c r="M27" s="202">
        <v>0</v>
      </c>
      <c r="N27" s="202">
        <v>0</v>
      </c>
      <c r="O27" s="201">
        <v>7038.3311407089304</v>
      </c>
      <c r="P27" s="201">
        <v>37902441.25</v>
      </c>
      <c r="Q27" s="201">
        <v>7428871.7400000002</v>
      </c>
      <c r="R27" s="201">
        <v>10728758.310000001</v>
      </c>
      <c r="S27" s="201">
        <v>121887.36</v>
      </c>
      <c r="T27" s="201">
        <v>0</v>
      </c>
      <c r="U27" s="201">
        <v>0</v>
      </c>
      <c r="V27" s="201">
        <f t="shared" si="4"/>
        <v>56181958.660000004</v>
      </c>
      <c r="W27" s="201">
        <v>23417209</v>
      </c>
      <c r="X27" s="201">
        <v>32764749.66</v>
      </c>
      <c r="Y27" s="201">
        <v>0</v>
      </c>
      <c r="Z27" s="229">
        <f t="shared" si="5"/>
        <v>32764749.66</v>
      </c>
      <c r="AA27" s="201">
        <v>26125620.760000002</v>
      </c>
      <c r="AB27" s="201">
        <v>24750588.09</v>
      </c>
      <c r="AD27" s="196"/>
      <c r="AE27" s="197"/>
    </row>
    <row r="28" spans="1:31" s="195" customFormat="1" ht="13.5" customHeight="1" outlineLevel="2">
      <c r="A28" s="199">
        <v>521</v>
      </c>
      <c r="B28" s="199" t="s">
        <v>26</v>
      </c>
      <c r="C28" s="200" t="s">
        <v>59</v>
      </c>
      <c r="D28" s="200" t="s">
        <v>60</v>
      </c>
      <c r="E28" s="200" t="s">
        <v>77</v>
      </c>
      <c r="F28" s="200" t="s">
        <v>78</v>
      </c>
      <c r="G28" s="201">
        <v>1.3</v>
      </c>
      <c r="H28" s="228">
        <v>29962</v>
      </c>
      <c r="I28" s="201">
        <v>1465.3124794740004</v>
      </c>
      <c r="J28" s="201">
        <v>287.20098558173686</v>
      </c>
      <c r="K28" s="202">
        <v>1118.5631000000001</v>
      </c>
      <c r="L28" s="202">
        <v>20.002199999999998</v>
      </c>
      <c r="M28" s="202">
        <v>0</v>
      </c>
      <c r="N28" s="202">
        <v>0</v>
      </c>
      <c r="O28" s="201">
        <v>7038.3311407089304</v>
      </c>
      <c r="P28" s="201">
        <v>43903692.509999998</v>
      </c>
      <c r="Q28" s="201">
        <v>8605115.9299999997</v>
      </c>
      <c r="R28" s="201">
        <v>10234662.539999999</v>
      </c>
      <c r="S28" s="201">
        <v>192021.12</v>
      </c>
      <c r="T28" s="201">
        <v>0</v>
      </c>
      <c r="U28" s="201">
        <v>0</v>
      </c>
      <c r="V28" s="201">
        <f t="shared" si="4"/>
        <v>62935492.099999994</v>
      </c>
      <c r="W28" s="201">
        <v>19426549</v>
      </c>
      <c r="X28" s="201">
        <v>43508943.100000001</v>
      </c>
      <c r="Y28" s="201">
        <v>0</v>
      </c>
      <c r="Z28" s="229">
        <f t="shared" si="5"/>
        <v>43508943.100000001</v>
      </c>
      <c r="AA28" s="201">
        <v>33122423.789999999</v>
      </c>
      <c r="AB28" s="201">
        <v>31379138.329999998</v>
      </c>
      <c r="AD28" s="196"/>
      <c r="AE28" s="197"/>
    </row>
    <row r="29" spans="1:31" s="195" customFormat="1" ht="13.5" customHeight="1" outlineLevel="2">
      <c r="A29" s="199">
        <v>522</v>
      </c>
      <c r="B29" s="199" t="s">
        <v>26</v>
      </c>
      <c r="C29" s="200" t="s">
        <v>59</v>
      </c>
      <c r="D29" s="200" t="s">
        <v>60</v>
      </c>
      <c r="E29" s="200" t="s">
        <v>79</v>
      </c>
      <c r="F29" s="200" t="s">
        <v>80</v>
      </c>
      <c r="G29" s="201">
        <v>1.25</v>
      </c>
      <c r="H29" s="228">
        <v>36732</v>
      </c>
      <c r="I29" s="201">
        <v>1393.8112286289884</v>
      </c>
      <c r="J29" s="201">
        <v>273.18675323968205</v>
      </c>
      <c r="K29" s="202">
        <v>1688.8957</v>
      </c>
      <c r="L29" s="202">
        <v>27.6968</v>
      </c>
      <c r="M29" s="202">
        <v>0</v>
      </c>
      <c r="N29" s="202">
        <v>0</v>
      </c>
      <c r="O29" s="201">
        <v>7038.3311407089304</v>
      </c>
      <c r="P29" s="201">
        <v>51197474.049999997</v>
      </c>
      <c r="Q29" s="201">
        <v>10034695.82</v>
      </c>
      <c r="R29" s="201">
        <v>14858758.82</v>
      </c>
      <c r="S29" s="201">
        <v>265889.28000000003</v>
      </c>
      <c r="T29" s="201">
        <v>0</v>
      </c>
      <c r="U29" s="201">
        <v>0</v>
      </c>
      <c r="V29" s="201">
        <f t="shared" si="4"/>
        <v>76356817.969999999</v>
      </c>
      <c r="W29" s="201">
        <v>29988659</v>
      </c>
      <c r="X29" s="201">
        <v>46368158.969999999</v>
      </c>
      <c r="Y29" s="201">
        <v>0</v>
      </c>
      <c r="Z29" s="229">
        <f t="shared" si="5"/>
        <v>46368158.969999999</v>
      </c>
      <c r="AA29" s="201">
        <v>37773928.119999997</v>
      </c>
      <c r="AB29" s="201">
        <v>35785826.640000001</v>
      </c>
      <c r="AD29" s="196"/>
      <c r="AE29" s="197"/>
    </row>
    <row r="30" spans="1:31" s="195" customFormat="1" ht="13.5" customHeight="1" outlineLevel="2">
      <c r="A30" s="199">
        <v>523</v>
      </c>
      <c r="B30" s="199" t="s">
        <v>26</v>
      </c>
      <c r="C30" s="200" t="s">
        <v>59</v>
      </c>
      <c r="D30" s="200" t="s">
        <v>60</v>
      </c>
      <c r="E30" s="200" t="s">
        <v>81</v>
      </c>
      <c r="F30" s="200" t="s">
        <v>82</v>
      </c>
      <c r="G30" s="201">
        <v>1.2</v>
      </c>
      <c r="H30" s="228">
        <v>43658</v>
      </c>
      <c r="I30" s="201">
        <v>1335.9347704887994</v>
      </c>
      <c r="J30" s="201">
        <v>261.84297769022862</v>
      </c>
      <c r="K30" s="202">
        <v>2450.2330999999999</v>
      </c>
      <c r="L30" s="202">
        <v>56.857900000000001</v>
      </c>
      <c r="M30" s="202">
        <v>0</v>
      </c>
      <c r="N30" s="202">
        <v>0</v>
      </c>
      <c r="O30" s="201">
        <v>7038.3311407089304</v>
      </c>
      <c r="P30" s="201">
        <v>58324240.210000001</v>
      </c>
      <c r="Q30" s="201">
        <v>11431540.720000001</v>
      </c>
      <c r="R30" s="201">
        <v>20694662.170000002</v>
      </c>
      <c r="S30" s="201">
        <v>545835.84</v>
      </c>
      <c r="T30" s="201">
        <v>0</v>
      </c>
      <c r="U30" s="201">
        <v>0</v>
      </c>
      <c r="V30" s="201">
        <f t="shared" si="4"/>
        <v>90996278.940000013</v>
      </c>
      <c r="W30" s="201">
        <v>34972090</v>
      </c>
      <c r="X30" s="201">
        <v>56024188.939999998</v>
      </c>
      <c r="Y30" s="201">
        <v>0</v>
      </c>
      <c r="Z30" s="229">
        <f t="shared" si="5"/>
        <v>56024188.939999998</v>
      </c>
      <c r="AA30" s="201">
        <v>47330388.219999999</v>
      </c>
      <c r="AB30" s="201">
        <v>44839315.149999999</v>
      </c>
      <c r="AD30" s="196"/>
      <c r="AE30" s="197"/>
    </row>
    <row r="31" spans="1:31" s="195" customFormat="1" ht="13.5" customHeight="1" outlineLevel="2">
      <c r="A31" s="199">
        <v>524</v>
      </c>
      <c r="B31" s="199" t="s">
        <v>26</v>
      </c>
      <c r="C31" s="200" t="s">
        <v>59</v>
      </c>
      <c r="D31" s="200" t="s">
        <v>60</v>
      </c>
      <c r="E31" s="200" t="s">
        <v>83</v>
      </c>
      <c r="F31" s="200" t="s">
        <v>84</v>
      </c>
      <c r="G31" s="201">
        <v>1.1000000000000001</v>
      </c>
      <c r="H31" s="228">
        <v>87100</v>
      </c>
      <c r="I31" s="201">
        <v>1109.5725762342136</v>
      </c>
      <c r="J31" s="201">
        <v>217.47602778415614</v>
      </c>
      <c r="K31" s="202">
        <v>6250.7851000000001</v>
      </c>
      <c r="L31" s="202">
        <v>106.669</v>
      </c>
      <c r="M31" s="202">
        <v>0</v>
      </c>
      <c r="N31" s="202">
        <v>0</v>
      </c>
      <c r="O31" s="201">
        <v>7038.3311407089304</v>
      </c>
      <c r="P31" s="201">
        <v>96643771.390000001</v>
      </c>
      <c r="Q31" s="201">
        <v>18942162.02</v>
      </c>
      <c r="R31" s="201">
        <v>48394604.899999999</v>
      </c>
      <c r="S31" s="201">
        <v>1024022.4</v>
      </c>
      <c r="T31" s="201">
        <v>0</v>
      </c>
      <c r="U31" s="201">
        <v>0</v>
      </c>
      <c r="V31" s="201">
        <f t="shared" si="4"/>
        <v>165004560.71000001</v>
      </c>
      <c r="W31" s="201">
        <v>65495591</v>
      </c>
      <c r="X31" s="201">
        <v>99508969.709999993</v>
      </c>
      <c r="Y31" s="201">
        <v>0</v>
      </c>
      <c r="Z31" s="229">
        <f t="shared" si="5"/>
        <v>99508969.709999993</v>
      </c>
      <c r="AA31" s="201">
        <v>83809624.189999998</v>
      </c>
      <c r="AB31" s="201">
        <v>79398591.340000004</v>
      </c>
      <c r="AD31" s="196"/>
      <c r="AE31" s="197"/>
    </row>
    <row r="32" spans="1:31" s="195" customFormat="1" ht="13.5" customHeight="1" outlineLevel="2">
      <c r="A32" s="199">
        <v>525</v>
      </c>
      <c r="B32" s="199" t="s">
        <v>26</v>
      </c>
      <c r="C32" s="200" t="s">
        <v>59</v>
      </c>
      <c r="D32" s="200" t="s">
        <v>60</v>
      </c>
      <c r="E32" s="200" t="s">
        <v>85</v>
      </c>
      <c r="F32" s="200" t="s">
        <v>86</v>
      </c>
      <c r="G32" s="201">
        <v>1.1499999999999999</v>
      </c>
      <c r="H32" s="228">
        <v>46913</v>
      </c>
      <c r="I32" s="201">
        <v>1311.7010768870036</v>
      </c>
      <c r="J32" s="201">
        <v>257.09317801035962</v>
      </c>
      <c r="K32" s="202">
        <v>2908.6091000000001</v>
      </c>
      <c r="L32" s="202">
        <v>61.230200000000004</v>
      </c>
      <c r="M32" s="202">
        <v>0</v>
      </c>
      <c r="N32" s="202">
        <v>0</v>
      </c>
      <c r="O32" s="201">
        <v>7038.3311407089304</v>
      </c>
      <c r="P32" s="201">
        <v>61535832.619999997</v>
      </c>
      <c r="Q32" s="201">
        <v>12061012.26</v>
      </c>
      <c r="R32" s="201">
        <v>23542517.350000001</v>
      </c>
      <c r="S32" s="201">
        <v>587809.92000000004</v>
      </c>
      <c r="T32" s="201">
        <v>0</v>
      </c>
      <c r="U32" s="201">
        <v>0</v>
      </c>
      <c r="V32" s="201">
        <f t="shared" si="4"/>
        <v>97727172.149999991</v>
      </c>
      <c r="W32" s="201">
        <v>35160113</v>
      </c>
      <c r="X32" s="201">
        <v>62567059.149999999</v>
      </c>
      <c r="Y32" s="201">
        <v>0</v>
      </c>
      <c r="Z32" s="229">
        <f t="shared" si="5"/>
        <v>62567059.149999999</v>
      </c>
      <c r="AA32" s="201">
        <v>55117200.899999999</v>
      </c>
      <c r="AB32" s="201">
        <v>52216295.590000004</v>
      </c>
      <c r="AD32" s="196"/>
      <c r="AE32" s="197"/>
    </row>
    <row r="33" spans="1:31" s="195" customFormat="1" ht="13.5" customHeight="1" outlineLevel="2">
      <c r="A33" s="199">
        <v>526</v>
      </c>
      <c r="B33" s="199" t="s">
        <v>26</v>
      </c>
      <c r="C33" s="200" t="s">
        <v>59</v>
      </c>
      <c r="D33" s="200" t="s">
        <v>60</v>
      </c>
      <c r="E33" s="200" t="s">
        <v>87</v>
      </c>
      <c r="F33" s="200" t="s">
        <v>88</v>
      </c>
      <c r="G33" s="201">
        <v>1.1000000000000001</v>
      </c>
      <c r="H33" s="228">
        <v>88530</v>
      </c>
      <c r="I33" s="201">
        <v>1105.4140047441545</v>
      </c>
      <c r="J33" s="201">
        <v>216.6609484920366</v>
      </c>
      <c r="K33" s="202">
        <v>5100.3122999999996</v>
      </c>
      <c r="L33" s="202">
        <v>77.556100000000001</v>
      </c>
      <c r="M33" s="202">
        <v>0</v>
      </c>
      <c r="N33" s="202">
        <v>0</v>
      </c>
      <c r="O33" s="201">
        <v>7038.3311407089304</v>
      </c>
      <c r="P33" s="201">
        <v>97862301.840000004</v>
      </c>
      <c r="Q33" s="201">
        <v>19180993.77</v>
      </c>
      <c r="R33" s="201">
        <v>39487455.369999997</v>
      </c>
      <c r="S33" s="201">
        <v>744538.56</v>
      </c>
      <c r="T33" s="201">
        <v>0</v>
      </c>
      <c r="U33" s="201">
        <v>0</v>
      </c>
      <c r="V33" s="201">
        <f t="shared" si="4"/>
        <v>157275289.53999999</v>
      </c>
      <c r="W33" s="201">
        <v>55750226</v>
      </c>
      <c r="X33" s="201">
        <v>101525063.54000001</v>
      </c>
      <c r="Y33" s="201">
        <v>0</v>
      </c>
      <c r="Z33" s="229">
        <f t="shared" si="5"/>
        <v>101525063.54000001</v>
      </c>
      <c r="AA33" s="201">
        <v>87957879.370000005</v>
      </c>
      <c r="AB33" s="201">
        <v>83328517.299999997</v>
      </c>
      <c r="AD33" s="196"/>
      <c r="AE33" s="197"/>
    </row>
    <row r="34" spans="1:31" s="195" customFormat="1" ht="13.5" customHeight="1" outlineLevel="2">
      <c r="A34" s="199">
        <v>527</v>
      </c>
      <c r="B34" s="199" t="s">
        <v>26</v>
      </c>
      <c r="C34" s="200" t="s">
        <v>59</v>
      </c>
      <c r="D34" s="200" t="s">
        <v>60</v>
      </c>
      <c r="E34" s="200" t="s">
        <v>89</v>
      </c>
      <c r="F34" s="200" t="s">
        <v>90</v>
      </c>
      <c r="G34" s="201">
        <v>1.3</v>
      </c>
      <c r="H34" s="228">
        <v>22510</v>
      </c>
      <c r="I34" s="201">
        <v>1534.6872141270546</v>
      </c>
      <c r="J34" s="201">
        <v>300.79842114615724</v>
      </c>
      <c r="K34" s="202">
        <v>1282.1799000000001</v>
      </c>
      <c r="L34" s="202">
        <v>8.1761999999999997</v>
      </c>
      <c r="M34" s="202">
        <v>0</v>
      </c>
      <c r="N34" s="202">
        <v>0</v>
      </c>
      <c r="O34" s="201">
        <v>7038.3311407089304</v>
      </c>
      <c r="P34" s="201">
        <v>34545809.189999998</v>
      </c>
      <c r="Q34" s="201">
        <v>6770972.46</v>
      </c>
      <c r="R34" s="201">
        <v>11731728.939999999</v>
      </c>
      <c r="S34" s="201">
        <v>78491.520000000004</v>
      </c>
      <c r="T34" s="201">
        <v>0</v>
      </c>
      <c r="U34" s="201">
        <v>0</v>
      </c>
      <c r="V34" s="201">
        <f t="shared" si="4"/>
        <v>53127002.109999999</v>
      </c>
      <c r="W34" s="201">
        <v>18750690</v>
      </c>
      <c r="X34" s="201">
        <v>34376312.109999999</v>
      </c>
      <c r="Y34" s="201">
        <v>0</v>
      </c>
      <c r="Z34" s="229">
        <f t="shared" si="5"/>
        <v>34376312.109999999</v>
      </c>
      <c r="AA34" s="201">
        <v>26027551.149999999</v>
      </c>
      <c r="AB34" s="201">
        <v>24657680.030000001</v>
      </c>
      <c r="AD34" s="196"/>
      <c r="AE34" s="197"/>
    </row>
    <row r="35" spans="1:31" s="195" customFormat="1" ht="13.5" customHeight="1" outlineLevel="2">
      <c r="A35" s="199">
        <v>528</v>
      </c>
      <c r="B35" s="199" t="s">
        <v>26</v>
      </c>
      <c r="C35" s="200" t="s">
        <v>59</v>
      </c>
      <c r="D35" s="200" t="s">
        <v>60</v>
      </c>
      <c r="E35" s="200" t="s">
        <v>91</v>
      </c>
      <c r="F35" s="200" t="s">
        <v>92</v>
      </c>
      <c r="G35" s="201">
        <v>1.3</v>
      </c>
      <c r="H35" s="228">
        <v>21071</v>
      </c>
      <c r="I35" s="201">
        <v>1553.7363352474965</v>
      </c>
      <c r="J35" s="201">
        <v>304.53204546533152</v>
      </c>
      <c r="K35" s="202">
        <v>1011.5075000000001</v>
      </c>
      <c r="L35" s="202">
        <v>17.324999999999999</v>
      </c>
      <c r="M35" s="202">
        <v>0</v>
      </c>
      <c r="N35" s="202">
        <v>0</v>
      </c>
      <c r="O35" s="201">
        <v>7038.3311407089304</v>
      </c>
      <c r="P35" s="201">
        <v>32738778.32</v>
      </c>
      <c r="Q35" s="201">
        <v>6416794.7300000004</v>
      </c>
      <c r="R35" s="201">
        <v>9255122.5099999998</v>
      </c>
      <c r="S35" s="201">
        <v>166320</v>
      </c>
      <c r="T35" s="201">
        <v>0</v>
      </c>
      <c r="U35" s="201">
        <v>0</v>
      </c>
      <c r="V35" s="201">
        <f t="shared" si="4"/>
        <v>48577015.559999995</v>
      </c>
      <c r="W35" s="201">
        <v>23331628</v>
      </c>
      <c r="X35" s="201">
        <v>25245387.559999999</v>
      </c>
      <c r="Y35" s="201">
        <v>0</v>
      </c>
      <c r="Z35" s="229">
        <f t="shared" si="5"/>
        <v>25245387.559999999</v>
      </c>
      <c r="AA35" s="201">
        <v>21771038.68</v>
      </c>
      <c r="AB35" s="201">
        <v>20625194.539999999</v>
      </c>
      <c r="AD35" s="196"/>
      <c r="AE35" s="197"/>
    </row>
    <row r="36" spans="1:31" s="195" customFormat="1" ht="13.5" customHeight="1" outlineLevel="2">
      <c r="A36" s="199">
        <v>529</v>
      </c>
      <c r="B36" s="199" t="s">
        <v>26</v>
      </c>
      <c r="C36" s="200" t="s">
        <v>59</v>
      </c>
      <c r="D36" s="200" t="s">
        <v>60</v>
      </c>
      <c r="E36" s="200" t="s">
        <v>93</v>
      </c>
      <c r="F36" s="200" t="s">
        <v>94</v>
      </c>
      <c r="G36" s="201">
        <v>1.3</v>
      </c>
      <c r="H36" s="228">
        <v>23839</v>
      </c>
      <c r="I36" s="201">
        <v>1519.1370049079242</v>
      </c>
      <c r="J36" s="201">
        <v>297.75058307814925</v>
      </c>
      <c r="K36" s="202">
        <v>1333.4483</v>
      </c>
      <c r="L36" s="202">
        <v>18.182600000000001</v>
      </c>
      <c r="M36" s="202">
        <v>0</v>
      </c>
      <c r="N36" s="202">
        <v>0</v>
      </c>
      <c r="O36" s="201">
        <v>7038.3311407089304</v>
      </c>
      <c r="P36" s="201">
        <v>36214707.060000002</v>
      </c>
      <c r="Q36" s="201">
        <v>7098076.1500000004</v>
      </c>
      <c r="R36" s="201">
        <v>12200825.970000001</v>
      </c>
      <c r="S36" s="201">
        <v>174552.95999999999</v>
      </c>
      <c r="T36" s="201">
        <v>0</v>
      </c>
      <c r="U36" s="201">
        <v>0</v>
      </c>
      <c r="V36" s="201">
        <f t="shared" si="4"/>
        <v>55688162.140000001</v>
      </c>
      <c r="W36" s="201">
        <v>17037701</v>
      </c>
      <c r="X36" s="201">
        <v>38650461.140000001</v>
      </c>
      <c r="Y36" s="201">
        <v>0</v>
      </c>
      <c r="Z36" s="229">
        <f t="shared" si="5"/>
        <v>38650461.140000001</v>
      </c>
      <c r="AA36" s="201">
        <v>28789075.140000001</v>
      </c>
      <c r="AB36" s="201">
        <v>27273860.66</v>
      </c>
      <c r="AD36" s="196"/>
      <c r="AE36" s="197"/>
    </row>
    <row r="37" spans="1:31" s="195" customFormat="1" ht="13.5" customHeight="1" outlineLevel="2">
      <c r="A37" s="199">
        <v>530</v>
      </c>
      <c r="B37" s="199" t="s">
        <v>26</v>
      </c>
      <c r="C37" s="200" t="s">
        <v>59</v>
      </c>
      <c r="D37" s="200" t="s">
        <v>60</v>
      </c>
      <c r="E37" s="200" t="s">
        <v>95</v>
      </c>
      <c r="F37" s="200" t="s">
        <v>96</v>
      </c>
      <c r="G37" s="201">
        <v>1.35</v>
      </c>
      <c r="H37" s="228">
        <v>19516</v>
      </c>
      <c r="I37" s="201">
        <v>1573.0299979503998</v>
      </c>
      <c r="J37" s="201">
        <v>308.31360012297603</v>
      </c>
      <c r="K37" s="202">
        <v>1482.5989</v>
      </c>
      <c r="L37" s="202">
        <v>23.538900000000002</v>
      </c>
      <c r="M37" s="202">
        <v>0</v>
      </c>
      <c r="N37" s="202">
        <v>0</v>
      </c>
      <c r="O37" s="201">
        <v>7038.3311407089304</v>
      </c>
      <c r="P37" s="201">
        <v>30699253.440000001</v>
      </c>
      <c r="Q37" s="201">
        <v>6017048.2199999997</v>
      </c>
      <c r="R37" s="201">
        <v>14087279.6</v>
      </c>
      <c r="S37" s="201">
        <v>225973.44</v>
      </c>
      <c r="T37" s="201">
        <v>0</v>
      </c>
      <c r="U37" s="201">
        <v>0</v>
      </c>
      <c r="V37" s="201">
        <f t="shared" si="4"/>
        <v>51029554.700000003</v>
      </c>
      <c r="W37" s="201">
        <v>20498226</v>
      </c>
      <c r="X37" s="201">
        <v>30531328.699999999</v>
      </c>
      <c r="Y37" s="201">
        <v>0</v>
      </c>
      <c r="Z37" s="229">
        <f t="shared" si="5"/>
        <v>30531328.699999999</v>
      </c>
      <c r="AA37" s="201">
        <v>24335912.359999999</v>
      </c>
      <c r="AB37" s="201">
        <v>23055074.870000001</v>
      </c>
      <c r="AD37" s="196"/>
      <c r="AE37" s="197"/>
    </row>
    <row r="38" spans="1:31" s="195" customFormat="1" ht="13.5" customHeight="1" outlineLevel="2">
      <c r="A38" s="199">
        <v>531</v>
      </c>
      <c r="B38" s="199" t="s">
        <v>26</v>
      </c>
      <c r="C38" s="200" t="s">
        <v>59</v>
      </c>
      <c r="D38" s="200" t="s">
        <v>60</v>
      </c>
      <c r="E38" s="200" t="s">
        <v>97</v>
      </c>
      <c r="F38" s="200" t="s">
        <v>98</v>
      </c>
      <c r="G38" s="201">
        <v>1.1000000000000001</v>
      </c>
      <c r="H38" s="228">
        <v>98766</v>
      </c>
      <c r="I38" s="201">
        <v>1075.1822798331409</v>
      </c>
      <c r="J38" s="201">
        <v>210.73553581191908</v>
      </c>
      <c r="K38" s="202">
        <v>6844.8869000000004</v>
      </c>
      <c r="L38" s="202">
        <v>155.17359999999999</v>
      </c>
      <c r="M38" s="202">
        <v>42.033100000000005</v>
      </c>
      <c r="N38" s="202">
        <v>0</v>
      </c>
      <c r="O38" s="201">
        <v>7038.3311407089304</v>
      </c>
      <c r="P38" s="201">
        <v>106191453.05</v>
      </c>
      <c r="Q38" s="201">
        <v>20813505.93</v>
      </c>
      <c r="R38" s="201">
        <v>52994238.759999998</v>
      </c>
      <c r="S38" s="201">
        <v>1489666.56</v>
      </c>
      <c r="T38" s="201">
        <v>378297.9</v>
      </c>
      <c r="U38" s="201">
        <v>0</v>
      </c>
      <c r="V38" s="201">
        <f t="shared" si="4"/>
        <v>181867162.19999999</v>
      </c>
      <c r="W38" s="201">
        <v>64147885</v>
      </c>
      <c r="X38" s="201">
        <v>117719277.2</v>
      </c>
      <c r="Y38" s="201">
        <v>0</v>
      </c>
      <c r="Z38" s="229">
        <f t="shared" si="5"/>
        <v>117719277.2</v>
      </c>
      <c r="AA38" s="201">
        <v>109914667.83</v>
      </c>
      <c r="AB38" s="201">
        <v>104129685.31999999</v>
      </c>
      <c r="AD38" s="196"/>
      <c r="AE38" s="197"/>
    </row>
    <row r="39" spans="1:31" s="195" customFormat="1" ht="13.5" customHeight="1" outlineLevel="2">
      <c r="A39" s="199">
        <v>532</v>
      </c>
      <c r="B39" s="199" t="s">
        <v>26</v>
      </c>
      <c r="C39" s="200" t="s">
        <v>59</v>
      </c>
      <c r="D39" s="200" t="s">
        <v>60</v>
      </c>
      <c r="E39" s="200" t="s">
        <v>99</v>
      </c>
      <c r="F39" s="200" t="s">
        <v>100</v>
      </c>
      <c r="G39" s="201">
        <v>1.35</v>
      </c>
      <c r="H39" s="228">
        <v>18370</v>
      </c>
      <c r="I39" s="201">
        <v>1581.6316657593902</v>
      </c>
      <c r="J39" s="201">
        <v>309.99952531301034</v>
      </c>
      <c r="K39" s="202">
        <v>940.37959999999998</v>
      </c>
      <c r="L39" s="202">
        <v>8.8940999999999999</v>
      </c>
      <c r="M39" s="202">
        <v>0</v>
      </c>
      <c r="N39" s="202">
        <v>0</v>
      </c>
      <c r="O39" s="201">
        <v>7038.3311407089304</v>
      </c>
      <c r="P39" s="201">
        <v>29054573.699999999</v>
      </c>
      <c r="Q39" s="201">
        <v>5694691.2800000003</v>
      </c>
      <c r="R39" s="201">
        <v>8935249.3599999994</v>
      </c>
      <c r="S39" s="201">
        <v>85383.360000000001</v>
      </c>
      <c r="T39" s="201">
        <v>0</v>
      </c>
      <c r="U39" s="201">
        <v>0</v>
      </c>
      <c r="V39" s="201">
        <f t="shared" si="4"/>
        <v>43769897.699999996</v>
      </c>
      <c r="W39" s="201">
        <v>13969349</v>
      </c>
      <c r="X39" s="201">
        <v>29800548.699999999</v>
      </c>
      <c r="Y39" s="201">
        <v>0</v>
      </c>
      <c r="Z39" s="229">
        <f t="shared" si="5"/>
        <v>29800548.699999999</v>
      </c>
      <c r="AA39" s="201">
        <v>22486734.449999999</v>
      </c>
      <c r="AB39" s="201">
        <v>21303222.109999999</v>
      </c>
      <c r="AD39" s="196"/>
      <c r="AE39" s="197"/>
    </row>
    <row r="40" spans="1:31" s="195" customFormat="1" ht="13.5" customHeight="1" outlineLevel="2">
      <c r="A40" s="199">
        <v>533</v>
      </c>
      <c r="B40" s="199" t="s">
        <v>26</v>
      </c>
      <c r="C40" s="200" t="s">
        <v>59</v>
      </c>
      <c r="D40" s="200" t="s">
        <v>60</v>
      </c>
      <c r="E40" s="200" t="s">
        <v>101</v>
      </c>
      <c r="F40" s="200" t="s">
        <v>102</v>
      </c>
      <c r="G40" s="201">
        <v>1.35</v>
      </c>
      <c r="H40" s="228">
        <v>19192</v>
      </c>
      <c r="I40" s="201">
        <v>1575.3577245727386</v>
      </c>
      <c r="J40" s="201">
        <v>308.76983378491042</v>
      </c>
      <c r="K40" s="202">
        <v>727.15110000000004</v>
      </c>
      <c r="L40" s="202">
        <v>17.854199999999999</v>
      </c>
      <c r="M40" s="202">
        <v>0</v>
      </c>
      <c r="N40" s="202">
        <v>0</v>
      </c>
      <c r="O40" s="201">
        <v>7038.3311407089304</v>
      </c>
      <c r="P40" s="201">
        <v>30234265.449999999</v>
      </c>
      <c r="Q40" s="201">
        <v>5925910.6500000004</v>
      </c>
      <c r="R40" s="201">
        <v>6909205.9199999999</v>
      </c>
      <c r="S40" s="201">
        <v>171400.32000000001</v>
      </c>
      <c r="T40" s="201">
        <v>0</v>
      </c>
      <c r="U40" s="201">
        <v>0</v>
      </c>
      <c r="V40" s="201">
        <f t="shared" si="4"/>
        <v>43240782.340000004</v>
      </c>
      <c r="W40" s="201">
        <v>14357904</v>
      </c>
      <c r="X40" s="201">
        <v>28882878.34</v>
      </c>
      <c r="Y40" s="201">
        <v>0</v>
      </c>
      <c r="Z40" s="229">
        <f t="shared" si="5"/>
        <v>28882878.34</v>
      </c>
      <c r="AA40" s="201">
        <v>21123306.710000001</v>
      </c>
      <c r="AB40" s="201">
        <v>20011553.719999999</v>
      </c>
      <c r="AD40" s="196"/>
      <c r="AE40" s="197"/>
    </row>
    <row r="41" spans="1:31" s="195" customFormat="1" ht="13.5" customHeight="1" outlineLevel="1">
      <c r="A41" s="221"/>
      <c r="B41" s="221"/>
      <c r="C41" s="230"/>
      <c r="D41" s="223" t="s">
        <v>265</v>
      </c>
      <c r="E41" s="222"/>
      <c r="F41" s="222"/>
      <c r="G41" s="246"/>
      <c r="H41" s="247">
        <f>SUBTOTAL(9,H20:H40)</f>
        <v>1159058</v>
      </c>
      <c r="I41" s="246"/>
      <c r="J41" s="246"/>
      <c r="K41" s="248">
        <f t="shared" ref="K41:AB41" si="6">SUBTOTAL(9,K20:K40)</f>
        <v>179445.75459999999</v>
      </c>
      <c r="L41" s="248">
        <f t="shared" si="6"/>
        <v>3970.0702000000001</v>
      </c>
      <c r="M41" s="248">
        <f t="shared" si="6"/>
        <v>2692.0107999999991</v>
      </c>
      <c r="N41" s="248">
        <f t="shared" si="6"/>
        <v>397.06099999999992</v>
      </c>
      <c r="O41" s="246">
        <f t="shared" si="6"/>
        <v>147804.95395488758</v>
      </c>
      <c r="P41" s="246">
        <f t="shared" si="6"/>
        <v>1355554312.23</v>
      </c>
      <c r="Q41" s="246">
        <f t="shared" si="6"/>
        <v>265688404.29000002</v>
      </c>
      <c r="R41" s="246">
        <f t="shared" si="6"/>
        <v>1334084228.1999998</v>
      </c>
      <c r="S41" s="246">
        <f t="shared" si="6"/>
        <v>38112673.920000009</v>
      </c>
      <c r="T41" s="246">
        <f t="shared" si="6"/>
        <v>24228097.199999999</v>
      </c>
      <c r="U41" s="246">
        <f t="shared" si="6"/>
        <v>4764732</v>
      </c>
      <c r="V41" s="246">
        <f t="shared" si="6"/>
        <v>3022432447.8399997</v>
      </c>
      <c r="W41" s="246">
        <f t="shared" si="6"/>
        <v>1297818300</v>
      </c>
      <c r="X41" s="246">
        <f t="shared" si="6"/>
        <v>1724614147.8400002</v>
      </c>
      <c r="Y41" s="246">
        <f t="shared" si="6"/>
        <v>9825763.0099999998</v>
      </c>
      <c r="Z41" s="249">
        <f t="shared" si="6"/>
        <v>1734439910.8500001</v>
      </c>
      <c r="AA41" s="246">
        <f t="shared" si="6"/>
        <v>1538110212.0599999</v>
      </c>
      <c r="AB41" s="246">
        <f t="shared" si="6"/>
        <v>1456683358.8199995</v>
      </c>
      <c r="AD41" s="196"/>
      <c r="AE41" s="197"/>
    </row>
    <row r="42" spans="1:31" s="195" customFormat="1" ht="13.5" customHeight="1" outlineLevel="2">
      <c r="A42" s="211">
        <v>534</v>
      </c>
      <c r="B42" s="211" t="s">
        <v>26</v>
      </c>
      <c r="C42" s="212" t="s">
        <v>103</v>
      </c>
      <c r="D42" s="212" t="s">
        <v>104</v>
      </c>
      <c r="E42" s="212" t="s">
        <v>105</v>
      </c>
      <c r="F42" s="212" t="s">
        <v>106</v>
      </c>
      <c r="G42" s="231">
        <v>1.1000000000000001</v>
      </c>
      <c r="H42" s="232">
        <v>92878</v>
      </c>
      <c r="I42" s="231">
        <v>1124.7515620491397</v>
      </c>
      <c r="J42" s="231">
        <v>215.46748885634918</v>
      </c>
      <c r="K42" s="233">
        <v>40982.7598</v>
      </c>
      <c r="L42" s="233">
        <v>940.09939999999995</v>
      </c>
      <c r="M42" s="233">
        <v>3442.6179999999977</v>
      </c>
      <c r="N42" s="233">
        <v>59.141199999999998</v>
      </c>
      <c r="O42" s="231">
        <v>7038.3311407089304</v>
      </c>
      <c r="P42" s="231">
        <v>104464675.58</v>
      </c>
      <c r="Q42" s="231">
        <v>20012189.43</v>
      </c>
      <c r="R42" s="231">
        <v>317295258.13</v>
      </c>
      <c r="S42" s="231">
        <v>9024954.2400000002</v>
      </c>
      <c r="T42" s="231">
        <v>30983562</v>
      </c>
      <c r="U42" s="231">
        <v>709694.4</v>
      </c>
      <c r="V42" s="231">
        <f t="shared" si="4"/>
        <v>482490333.77999997</v>
      </c>
      <c r="W42" s="231">
        <v>244498112</v>
      </c>
      <c r="X42" s="231">
        <v>237992221.78</v>
      </c>
      <c r="Y42" s="201">
        <v>4384288.74</v>
      </c>
      <c r="Z42" s="234">
        <f t="shared" si="5"/>
        <v>242376510.52000001</v>
      </c>
      <c r="AA42" s="231">
        <v>242376510.52000001</v>
      </c>
      <c r="AB42" s="231">
        <v>229619852.06999999</v>
      </c>
      <c r="AD42" s="196"/>
      <c r="AE42" s="197"/>
    </row>
    <row r="43" spans="1:31" s="195" customFormat="1" ht="13.5" customHeight="1" outlineLevel="2">
      <c r="A43" s="199">
        <v>535</v>
      </c>
      <c r="B43" s="199" t="s">
        <v>26</v>
      </c>
      <c r="C43" s="200" t="s">
        <v>103</v>
      </c>
      <c r="D43" s="200" t="s">
        <v>104</v>
      </c>
      <c r="E43" s="200" t="s">
        <v>107</v>
      </c>
      <c r="F43" s="200" t="s">
        <v>108</v>
      </c>
      <c r="G43" s="201">
        <v>1.3</v>
      </c>
      <c r="H43" s="228">
        <v>21557</v>
      </c>
      <c r="I43" s="201">
        <v>1593.1740181843486</v>
      </c>
      <c r="J43" s="201">
        <v>305.20269239690128</v>
      </c>
      <c r="K43" s="202">
        <v>1280.3031000000001</v>
      </c>
      <c r="L43" s="202">
        <v>18.897400000000001</v>
      </c>
      <c r="M43" s="202">
        <v>0</v>
      </c>
      <c r="N43" s="202">
        <v>0</v>
      </c>
      <c r="O43" s="201">
        <v>7038.3311407089304</v>
      </c>
      <c r="P43" s="201">
        <v>34344052.310000002</v>
      </c>
      <c r="Q43" s="201">
        <v>6579254.4400000004</v>
      </c>
      <c r="R43" s="201">
        <v>11714556.119999999</v>
      </c>
      <c r="S43" s="201">
        <v>181415.04000000001</v>
      </c>
      <c r="T43" s="201">
        <v>0</v>
      </c>
      <c r="U43" s="201">
        <v>0</v>
      </c>
      <c r="V43" s="201">
        <f t="shared" si="4"/>
        <v>52819277.909999996</v>
      </c>
      <c r="W43" s="201">
        <v>20518310</v>
      </c>
      <c r="X43" s="201">
        <v>32300967.91</v>
      </c>
      <c r="Y43" s="201">
        <v>0</v>
      </c>
      <c r="Z43" s="229">
        <f t="shared" si="5"/>
        <v>32300967.91</v>
      </c>
      <c r="AA43" s="201">
        <v>26378632.890000001</v>
      </c>
      <c r="AB43" s="201">
        <v>24990283.789999999</v>
      </c>
      <c r="AD43" s="196"/>
      <c r="AE43" s="197"/>
    </row>
    <row r="44" spans="1:31" s="195" customFormat="1" ht="13.5" customHeight="1" outlineLevel="2">
      <c r="A44" s="199">
        <v>536</v>
      </c>
      <c r="B44" s="199" t="s">
        <v>26</v>
      </c>
      <c r="C44" s="200" t="s">
        <v>103</v>
      </c>
      <c r="D44" s="200" t="s">
        <v>104</v>
      </c>
      <c r="E44" s="200" t="s">
        <v>109</v>
      </c>
      <c r="F44" s="200" t="s">
        <v>110</v>
      </c>
      <c r="G44" s="201">
        <v>1.2</v>
      </c>
      <c r="H44" s="228">
        <v>47394</v>
      </c>
      <c r="I44" s="201">
        <v>1347.4387715744608</v>
      </c>
      <c r="J44" s="201">
        <v>258.12744630121955</v>
      </c>
      <c r="K44" s="202">
        <v>2564.0414000000001</v>
      </c>
      <c r="L44" s="202">
        <v>32.728200000000001</v>
      </c>
      <c r="M44" s="202">
        <v>0</v>
      </c>
      <c r="N44" s="202">
        <v>0</v>
      </c>
      <c r="O44" s="201">
        <v>7038.3311407089304</v>
      </c>
      <c r="P44" s="201">
        <v>63860513.140000001</v>
      </c>
      <c r="Q44" s="201">
        <v>12233692.189999999</v>
      </c>
      <c r="R44" s="201">
        <v>21655887.059999999</v>
      </c>
      <c r="S44" s="201">
        <v>314190.71999999997</v>
      </c>
      <c r="T44" s="201">
        <v>0</v>
      </c>
      <c r="U44" s="201">
        <v>0</v>
      </c>
      <c r="V44" s="201">
        <f t="shared" si="4"/>
        <v>98064283.109999999</v>
      </c>
      <c r="W44" s="201">
        <v>39941725</v>
      </c>
      <c r="X44" s="201">
        <v>58122558.109999999</v>
      </c>
      <c r="Y44" s="201">
        <v>0</v>
      </c>
      <c r="Z44" s="229">
        <f t="shared" si="5"/>
        <v>58122558.109999999</v>
      </c>
      <c r="AA44" s="201">
        <v>55719960.659999996</v>
      </c>
      <c r="AB44" s="201">
        <v>52787331.149999999</v>
      </c>
      <c r="AD44" s="196"/>
      <c r="AE44" s="197"/>
    </row>
    <row r="45" spans="1:31" s="195" customFormat="1" ht="13.5" customHeight="1" outlineLevel="2">
      <c r="A45" s="199">
        <v>537</v>
      </c>
      <c r="B45" s="199" t="s">
        <v>26</v>
      </c>
      <c r="C45" s="200" t="s">
        <v>103</v>
      </c>
      <c r="D45" s="200" t="s">
        <v>104</v>
      </c>
      <c r="E45" s="200" t="s">
        <v>111</v>
      </c>
      <c r="F45" s="200" t="s">
        <v>112</v>
      </c>
      <c r="G45" s="201">
        <v>1.25</v>
      </c>
      <c r="H45" s="228">
        <v>35396</v>
      </c>
      <c r="I45" s="201">
        <v>1447.7353469318568</v>
      </c>
      <c r="J45" s="201">
        <v>277.34115719290315</v>
      </c>
      <c r="K45" s="202">
        <v>2354.625</v>
      </c>
      <c r="L45" s="202">
        <v>50.146599999999999</v>
      </c>
      <c r="M45" s="202">
        <v>0</v>
      </c>
      <c r="N45" s="202">
        <v>0</v>
      </c>
      <c r="O45" s="201">
        <v>7038.3311407089304</v>
      </c>
      <c r="P45" s="201">
        <v>51244040.340000004</v>
      </c>
      <c r="Q45" s="201">
        <v>9816767.5999999996</v>
      </c>
      <c r="R45" s="201">
        <v>20715788.43</v>
      </c>
      <c r="S45" s="201">
        <v>481407.36</v>
      </c>
      <c r="T45" s="201">
        <v>0</v>
      </c>
      <c r="U45" s="201">
        <v>0</v>
      </c>
      <c r="V45" s="201">
        <f t="shared" si="4"/>
        <v>82258003.730000004</v>
      </c>
      <c r="W45" s="201">
        <v>24005307</v>
      </c>
      <c r="X45" s="201">
        <v>58252696.729999997</v>
      </c>
      <c r="Y45" s="201">
        <v>0</v>
      </c>
      <c r="Z45" s="229">
        <f t="shared" si="5"/>
        <v>58252696.729999997</v>
      </c>
      <c r="AA45" s="201">
        <v>45596438.340000004</v>
      </c>
      <c r="AB45" s="201">
        <v>43196625.789999999</v>
      </c>
      <c r="AD45" s="196"/>
      <c r="AE45" s="197"/>
    </row>
    <row r="46" spans="1:31" s="195" customFormat="1" ht="13.5" customHeight="1" outlineLevel="2">
      <c r="A46" s="199">
        <v>538</v>
      </c>
      <c r="B46" s="199" t="s">
        <v>26</v>
      </c>
      <c r="C46" s="200" t="s">
        <v>103</v>
      </c>
      <c r="D46" s="200" t="s">
        <v>104</v>
      </c>
      <c r="E46" s="200" t="s">
        <v>113</v>
      </c>
      <c r="F46" s="200" t="s">
        <v>114</v>
      </c>
      <c r="G46" s="201">
        <v>1.4</v>
      </c>
      <c r="H46" s="228">
        <v>8844</v>
      </c>
      <c r="I46" s="201">
        <v>1767.1588014473089</v>
      </c>
      <c r="J46" s="201">
        <v>338.53277702397105</v>
      </c>
      <c r="K46" s="202">
        <v>580.39110000000005</v>
      </c>
      <c r="L46" s="202">
        <v>16.4788</v>
      </c>
      <c r="M46" s="202">
        <v>0</v>
      </c>
      <c r="N46" s="202">
        <v>0</v>
      </c>
      <c r="O46" s="201">
        <v>7038.3311407089304</v>
      </c>
      <c r="P46" s="201">
        <v>15628752.439999999</v>
      </c>
      <c r="Q46" s="201">
        <v>2993983.88</v>
      </c>
      <c r="R46" s="201">
        <v>5718978.3700000001</v>
      </c>
      <c r="S46" s="201">
        <v>158196.48000000001</v>
      </c>
      <c r="T46" s="201">
        <v>0</v>
      </c>
      <c r="U46" s="201">
        <v>0</v>
      </c>
      <c r="V46" s="201">
        <f t="shared" si="4"/>
        <v>24499911.170000002</v>
      </c>
      <c r="W46" s="201">
        <v>15856748</v>
      </c>
      <c r="X46" s="201">
        <v>8643163.1699999999</v>
      </c>
      <c r="Y46" s="201">
        <v>11223437.66</v>
      </c>
      <c r="Z46" s="229">
        <f t="shared" si="5"/>
        <v>19866600.829999998</v>
      </c>
      <c r="AA46" s="201">
        <v>19866600.829999998</v>
      </c>
      <c r="AB46" s="201">
        <v>18820990.260000002</v>
      </c>
      <c r="AD46" s="196"/>
      <c r="AE46" s="197"/>
    </row>
    <row r="47" spans="1:31" s="195" customFormat="1" ht="13.5" customHeight="1" outlineLevel="2">
      <c r="A47" s="199">
        <v>539</v>
      </c>
      <c r="B47" s="199" t="s">
        <v>26</v>
      </c>
      <c r="C47" s="200" t="s">
        <v>103</v>
      </c>
      <c r="D47" s="200" t="s">
        <v>104</v>
      </c>
      <c r="E47" s="200" t="s">
        <v>115</v>
      </c>
      <c r="F47" s="200" t="s">
        <v>116</v>
      </c>
      <c r="G47" s="201">
        <v>1.35</v>
      </c>
      <c r="H47" s="228">
        <v>18142</v>
      </c>
      <c r="I47" s="201">
        <v>1630.715867048837</v>
      </c>
      <c r="J47" s="201">
        <v>312.3945452541065</v>
      </c>
      <c r="K47" s="202">
        <v>1000.0644</v>
      </c>
      <c r="L47" s="202">
        <v>22.388000000000002</v>
      </c>
      <c r="M47" s="202">
        <v>0</v>
      </c>
      <c r="N47" s="202">
        <v>0</v>
      </c>
      <c r="O47" s="201">
        <v>7038.3311407089304</v>
      </c>
      <c r="P47" s="201">
        <v>29584447.260000002</v>
      </c>
      <c r="Q47" s="201">
        <v>5667461.8399999999</v>
      </c>
      <c r="R47" s="201">
        <v>9502358.6699999999</v>
      </c>
      <c r="S47" s="201">
        <v>214924.79999999999</v>
      </c>
      <c r="T47" s="201">
        <v>0</v>
      </c>
      <c r="U47" s="201">
        <v>0</v>
      </c>
      <c r="V47" s="201">
        <f t="shared" si="4"/>
        <v>44969192.57</v>
      </c>
      <c r="W47" s="201">
        <v>21766616</v>
      </c>
      <c r="X47" s="201">
        <v>23202576.57</v>
      </c>
      <c r="Y47" s="201">
        <v>0</v>
      </c>
      <c r="Z47" s="229">
        <f t="shared" si="5"/>
        <v>23202576.57</v>
      </c>
      <c r="AA47" s="201">
        <v>21252104.649999999</v>
      </c>
      <c r="AB47" s="201">
        <v>20133572.82</v>
      </c>
      <c r="AD47" s="196"/>
      <c r="AE47" s="197"/>
    </row>
    <row r="48" spans="1:31" s="195" customFormat="1" ht="13.5" customHeight="1" outlineLevel="2">
      <c r="A48" s="199">
        <v>540</v>
      </c>
      <c r="B48" s="199" t="s">
        <v>26</v>
      </c>
      <c r="C48" s="200" t="s">
        <v>103</v>
      </c>
      <c r="D48" s="200" t="s">
        <v>104</v>
      </c>
      <c r="E48" s="200" t="s">
        <v>117</v>
      </c>
      <c r="F48" s="200" t="s">
        <v>118</v>
      </c>
      <c r="G48" s="201">
        <v>1.3</v>
      </c>
      <c r="H48" s="228">
        <v>21107</v>
      </c>
      <c r="I48" s="201">
        <v>1599.5690135973848</v>
      </c>
      <c r="J48" s="201">
        <v>306.42777514568627</v>
      </c>
      <c r="K48" s="202">
        <v>1445.2726</v>
      </c>
      <c r="L48" s="202">
        <v>20.837199999999999</v>
      </c>
      <c r="M48" s="202">
        <v>3.6461000000000001</v>
      </c>
      <c r="N48" s="202">
        <v>0</v>
      </c>
      <c r="O48" s="201">
        <v>7038.3311407089304</v>
      </c>
      <c r="P48" s="201">
        <v>33762103.170000002</v>
      </c>
      <c r="Q48" s="201">
        <v>6467771.0499999998</v>
      </c>
      <c r="R48" s="201">
        <v>13223999.43</v>
      </c>
      <c r="S48" s="201">
        <v>200037.12</v>
      </c>
      <c r="T48" s="201">
        <v>32814.9</v>
      </c>
      <c r="U48" s="201">
        <v>0</v>
      </c>
      <c r="V48" s="201">
        <f t="shared" si="4"/>
        <v>53686725.669999994</v>
      </c>
      <c r="W48" s="201">
        <v>26585797</v>
      </c>
      <c r="X48" s="201">
        <v>27100928.670000002</v>
      </c>
      <c r="Y48" s="201">
        <v>268669.2</v>
      </c>
      <c r="Z48" s="229">
        <f t="shared" si="5"/>
        <v>27369597.870000001</v>
      </c>
      <c r="AA48" s="201">
        <v>27369597.870000001</v>
      </c>
      <c r="AB48" s="201">
        <v>25929092.719999999</v>
      </c>
      <c r="AD48" s="196"/>
      <c r="AE48" s="197"/>
    </row>
    <row r="49" spans="1:31" s="195" customFormat="1" ht="13.5" customHeight="1" outlineLevel="2">
      <c r="A49" s="199">
        <v>541</v>
      </c>
      <c r="B49" s="199" t="s">
        <v>26</v>
      </c>
      <c r="C49" s="200" t="s">
        <v>103</v>
      </c>
      <c r="D49" s="200" t="s">
        <v>104</v>
      </c>
      <c r="E49" s="200" t="s">
        <v>119</v>
      </c>
      <c r="F49" s="200" t="s">
        <v>120</v>
      </c>
      <c r="G49" s="201">
        <v>1.1000000000000001</v>
      </c>
      <c r="H49" s="228">
        <v>86677</v>
      </c>
      <c r="I49" s="201">
        <v>1143.9708335544608</v>
      </c>
      <c r="J49" s="201">
        <v>219.14930477519988</v>
      </c>
      <c r="K49" s="202">
        <v>5484.8693000000003</v>
      </c>
      <c r="L49" s="202">
        <v>83.618700000000004</v>
      </c>
      <c r="M49" s="202">
        <v>1.9117999999999999</v>
      </c>
      <c r="N49" s="202">
        <v>0</v>
      </c>
      <c r="O49" s="201">
        <v>7038.3311407089304</v>
      </c>
      <c r="P49" s="201">
        <v>99155959.939999998</v>
      </c>
      <c r="Q49" s="201">
        <v>18995204.289999999</v>
      </c>
      <c r="R49" s="201">
        <v>42464758.829999998</v>
      </c>
      <c r="S49" s="201">
        <v>802739.52</v>
      </c>
      <c r="T49" s="201">
        <v>17206.2</v>
      </c>
      <c r="U49" s="201">
        <v>0</v>
      </c>
      <c r="V49" s="201">
        <f t="shared" si="4"/>
        <v>161435868.78</v>
      </c>
      <c r="W49" s="201">
        <v>84448457</v>
      </c>
      <c r="X49" s="201">
        <v>76987411.780000001</v>
      </c>
      <c r="Y49" s="201">
        <v>0</v>
      </c>
      <c r="Z49" s="229">
        <f t="shared" si="5"/>
        <v>76987411.780000001</v>
      </c>
      <c r="AA49" s="201">
        <v>72460080.909999996</v>
      </c>
      <c r="AB49" s="201">
        <v>68646392.439999998</v>
      </c>
      <c r="AD49" s="196"/>
      <c r="AE49" s="197"/>
    </row>
    <row r="50" spans="1:31" s="195" customFormat="1" ht="13.5" customHeight="1" outlineLevel="2">
      <c r="A50" s="199">
        <v>542</v>
      </c>
      <c r="B50" s="199" t="s">
        <v>26</v>
      </c>
      <c r="C50" s="200" t="s">
        <v>103</v>
      </c>
      <c r="D50" s="200" t="s">
        <v>104</v>
      </c>
      <c r="E50" s="200" t="s">
        <v>121</v>
      </c>
      <c r="F50" s="200" t="s">
        <v>122</v>
      </c>
      <c r="G50" s="201">
        <v>1.3</v>
      </c>
      <c r="H50" s="228">
        <v>26890</v>
      </c>
      <c r="I50" s="201">
        <v>1533.6852487913725</v>
      </c>
      <c r="J50" s="201">
        <v>293.8064905169208</v>
      </c>
      <c r="K50" s="202">
        <v>1525.2987000000001</v>
      </c>
      <c r="L50" s="202">
        <v>46.270600000000002</v>
      </c>
      <c r="M50" s="202">
        <v>0</v>
      </c>
      <c r="N50" s="202">
        <v>0</v>
      </c>
      <c r="O50" s="201">
        <v>7038.3311407089304</v>
      </c>
      <c r="P50" s="201">
        <v>41240796.340000004</v>
      </c>
      <c r="Q50" s="201">
        <v>7900456.5300000003</v>
      </c>
      <c r="R50" s="201">
        <v>13956224.470000001</v>
      </c>
      <c r="S50" s="201">
        <v>444197.76</v>
      </c>
      <c r="T50" s="201">
        <v>0</v>
      </c>
      <c r="U50" s="201">
        <v>0</v>
      </c>
      <c r="V50" s="201">
        <f t="shared" si="4"/>
        <v>63541675.100000001</v>
      </c>
      <c r="W50" s="201">
        <v>27563045</v>
      </c>
      <c r="X50" s="201">
        <v>35978630.100000001</v>
      </c>
      <c r="Y50" s="201">
        <v>0</v>
      </c>
      <c r="Z50" s="229">
        <f t="shared" si="5"/>
        <v>35978630.100000001</v>
      </c>
      <c r="AA50" s="201">
        <v>29360325</v>
      </c>
      <c r="AB50" s="201">
        <v>27815044.73</v>
      </c>
      <c r="AD50" s="196"/>
      <c r="AE50" s="197"/>
    </row>
    <row r="51" spans="1:31" s="195" customFormat="1" ht="13.5" customHeight="1" outlineLevel="2">
      <c r="A51" s="199">
        <v>543</v>
      </c>
      <c r="B51" s="199" t="s">
        <v>26</v>
      </c>
      <c r="C51" s="200" t="s">
        <v>103</v>
      </c>
      <c r="D51" s="200" t="s">
        <v>104</v>
      </c>
      <c r="E51" s="200" t="s">
        <v>123</v>
      </c>
      <c r="F51" s="200" t="s">
        <v>124</v>
      </c>
      <c r="G51" s="201">
        <v>1.3</v>
      </c>
      <c r="H51" s="228">
        <v>20332</v>
      </c>
      <c r="I51" s="201">
        <v>1611.2461838481213</v>
      </c>
      <c r="J51" s="201">
        <v>308.66475850875469</v>
      </c>
      <c r="K51" s="202">
        <v>1602.0282999999999</v>
      </c>
      <c r="L51" s="202">
        <v>18.923400000000001</v>
      </c>
      <c r="M51" s="202">
        <v>0</v>
      </c>
      <c r="N51" s="202">
        <v>0</v>
      </c>
      <c r="O51" s="201">
        <v>7038.3311407089304</v>
      </c>
      <c r="P51" s="201">
        <v>32759857.41</v>
      </c>
      <c r="Q51" s="201">
        <v>6275771.8700000001</v>
      </c>
      <c r="R51" s="201">
        <v>14658287.439999999</v>
      </c>
      <c r="S51" s="201">
        <v>181664.64000000001</v>
      </c>
      <c r="T51" s="201">
        <v>0</v>
      </c>
      <c r="U51" s="201">
        <v>0</v>
      </c>
      <c r="V51" s="201">
        <f t="shared" si="4"/>
        <v>53875581.359999999</v>
      </c>
      <c r="W51" s="201">
        <v>21960312</v>
      </c>
      <c r="X51" s="201">
        <v>31915269.359999999</v>
      </c>
      <c r="Y51" s="201">
        <v>0</v>
      </c>
      <c r="Z51" s="229">
        <f t="shared" si="5"/>
        <v>31915269.359999999</v>
      </c>
      <c r="AA51" s="201">
        <v>27734421.43</v>
      </c>
      <c r="AB51" s="201">
        <v>26274715.039999999</v>
      </c>
      <c r="AD51" s="196"/>
      <c r="AE51" s="197"/>
    </row>
    <row r="52" spans="1:31" s="195" customFormat="1" ht="13.5" customHeight="1" outlineLevel="2">
      <c r="A52" s="199">
        <v>544</v>
      </c>
      <c r="B52" s="199" t="s">
        <v>26</v>
      </c>
      <c r="C52" s="200" t="s">
        <v>103</v>
      </c>
      <c r="D52" s="200" t="s">
        <v>104</v>
      </c>
      <c r="E52" s="200" t="s">
        <v>125</v>
      </c>
      <c r="F52" s="200" t="s">
        <v>126</v>
      </c>
      <c r="G52" s="201">
        <v>1.25</v>
      </c>
      <c r="H52" s="228">
        <v>32201</v>
      </c>
      <c r="I52" s="201">
        <v>1481.3969780441603</v>
      </c>
      <c r="J52" s="201">
        <v>283.78968075525603</v>
      </c>
      <c r="K52" s="202">
        <v>1936.6090999999999</v>
      </c>
      <c r="L52" s="202">
        <v>38.115400000000001</v>
      </c>
      <c r="M52" s="202">
        <v>0</v>
      </c>
      <c r="N52" s="202">
        <v>0</v>
      </c>
      <c r="O52" s="201">
        <v>7038.3311407089304</v>
      </c>
      <c r="P52" s="201">
        <v>47702464.090000004</v>
      </c>
      <c r="Q52" s="201">
        <v>9138311.5099999998</v>
      </c>
      <c r="R52" s="201">
        <v>17038120.350000001</v>
      </c>
      <c r="S52" s="201">
        <v>365907.84</v>
      </c>
      <c r="T52" s="201">
        <v>0</v>
      </c>
      <c r="U52" s="201">
        <v>0</v>
      </c>
      <c r="V52" s="201">
        <f t="shared" si="4"/>
        <v>74244803.790000007</v>
      </c>
      <c r="W52" s="201">
        <v>24685842</v>
      </c>
      <c r="X52" s="201">
        <v>49558961.789999999</v>
      </c>
      <c r="Y52" s="201">
        <v>0</v>
      </c>
      <c r="Z52" s="229">
        <f t="shared" si="5"/>
        <v>49558961.789999999</v>
      </c>
      <c r="AA52" s="201">
        <v>43678054.170000002</v>
      </c>
      <c r="AB52" s="201">
        <v>41379209.219999999</v>
      </c>
      <c r="AD52" s="196"/>
      <c r="AE52" s="197"/>
    </row>
    <row r="53" spans="1:31" s="195" customFormat="1" ht="13.5" customHeight="1" outlineLevel="2">
      <c r="A53" s="199">
        <v>545</v>
      </c>
      <c r="B53" s="199" t="s">
        <v>26</v>
      </c>
      <c r="C53" s="200" t="s">
        <v>103</v>
      </c>
      <c r="D53" s="200" t="s">
        <v>104</v>
      </c>
      <c r="E53" s="200" t="s">
        <v>127</v>
      </c>
      <c r="F53" s="200" t="s">
        <v>128</v>
      </c>
      <c r="G53" s="201">
        <v>1.2</v>
      </c>
      <c r="H53" s="228">
        <v>42116</v>
      </c>
      <c r="I53" s="201">
        <v>1388.9621146357679</v>
      </c>
      <c r="J53" s="201">
        <v>266.08203010732262</v>
      </c>
      <c r="K53" s="202">
        <v>2521.5257000000001</v>
      </c>
      <c r="L53" s="202">
        <v>76.670299999999997</v>
      </c>
      <c r="M53" s="202">
        <v>7.5739999999999998</v>
      </c>
      <c r="N53" s="202">
        <v>0</v>
      </c>
      <c r="O53" s="201">
        <v>7038.3311407089304</v>
      </c>
      <c r="P53" s="201">
        <v>58497528.420000002</v>
      </c>
      <c r="Q53" s="201">
        <v>11206310.779999999</v>
      </c>
      <c r="R53" s="201">
        <v>21296799.149999999</v>
      </c>
      <c r="S53" s="201">
        <v>736034.88</v>
      </c>
      <c r="T53" s="201">
        <v>68166</v>
      </c>
      <c r="U53" s="201">
        <v>0</v>
      </c>
      <c r="V53" s="201">
        <f t="shared" si="4"/>
        <v>91804839.229999989</v>
      </c>
      <c r="W53" s="201">
        <v>42781391</v>
      </c>
      <c r="X53" s="201">
        <v>49023448.229999997</v>
      </c>
      <c r="Y53" s="201">
        <v>0</v>
      </c>
      <c r="Z53" s="229">
        <f t="shared" si="5"/>
        <v>49023448.229999997</v>
      </c>
      <c r="AA53" s="201">
        <v>45297341.57</v>
      </c>
      <c r="AB53" s="201">
        <v>42913270.960000001</v>
      </c>
      <c r="AD53" s="196"/>
      <c r="AE53" s="197"/>
    </row>
    <row r="54" spans="1:31" s="195" customFormat="1" ht="13.5" customHeight="1" outlineLevel="2">
      <c r="A54" s="199">
        <v>546</v>
      </c>
      <c r="B54" s="199" t="s">
        <v>26</v>
      </c>
      <c r="C54" s="200" t="s">
        <v>103</v>
      </c>
      <c r="D54" s="200" t="s">
        <v>104</v>
      </c>
      <c r="E54" s="200" t="s">
        <v>129</v>
      </c>
      <c r="F54" s="200" t="s">
        <v>130</v>
      </c>
      <c r="G54" s="201">
        <v>1.25</v>
      </c>
      <c r="H54" s="228">
        <v>31277</v>
      </c>
      <c r="I54" s="201">
        <v>1492.4140291588069</v>
      </c>
      <c r="J54" s="201">
        <v>285.90020590210059</v>
      </c>
      <c r="K54" s="202">
        <v>1906.1126999999999</v>
      </c>
      <c r="L54" s="202">
        <v>44.612099999999998</v>
      </c>
      <c r="M54" s="202">
        <v>0</v>
      </c>
      <c r="N54" s="202">
        <v>0</v>
      </c>
      <c r="O54" s="201">
        <v>7038.3311407089304</v>
      </c>
      <c r="P54" s="201">
        <v>46678233.590000004</v>
      </c>
      <c r="Q54" s="201">
        <v>8942100.7400000002</v>
      </c>
      <c r="R54" s="201">
        <v>16769815.640000001</v>
      </c>
      <c r="S54" s="201">
        <v>428276.16</v>
      </c>
      <c r="T54" s="201">
        <v>0</v>
      </c>
      <c r="U54" s="201">
        <v>0</v>
      </c>
      <c r="V54" s="201">
        <f t="shared" si="4"/>
        <v>72818426.129999995</v>
      </c>
      <c r="W54" s="201">
        <v>24819708</v>
      </c>
      <c r="X54" s="201">
        <v>47998718.130000003</v>
      </c>
      <c r="Y54" s="201">
        <v>0</v>
      </c>
      <c r="Z54" s="229">
        <f t="shared" si="5"/>
        <v>47998718.130000003</v>
      </c>
      <c r="AA54" s="201">
        <v>40874982.520000003</v>
      </c>
      <c r="AB54" s="201">
        <v>38723667.649999999</v>
      </c>
      <c r="AD54" s="196"/>
      <c r="AE54" s="197"/>
    </row>
    <row r="55" spans="1:31" s="195" customFormat="1" ht="13.5" customHeight="1" outlineLevel="2">
      <c r="A55" s="199">
        <v>547</v>
      </c>
      <c r="B55" s="199" t="s">
        <v>26</v>
      </c>
      <c r="C55" s="200" t="s">
        <v>103</v>
      </c>
      <c r="D55" s="200" t="s">
        <v>104</v>
      </c>
      <c r="E55" s="200" t="s">
        <v>131</v>
      </c>
      <c r="F55" s="200" t="s">
        <v>132</v>
      </c>
      <c r="G55" s="201">
        <v>1.35</v>
      </c>
      <c r="H55" s="228">
        <v>19889</v>
      </c>
      <c r="I55" s="201">
        <v>1617.2987093368195</v>
      </c>
      <c r="J55" s="201">
        <v>309.82423450148326</v>
      </c>
      <c r="K55" s="202">
        <v>1040.8338000000001</v>
      </c>
      <c r="L55" s="202">
        <v>28.459700000000002</v>
      </c>
      <c r="M55" s="202">
        <v>0</v>
      </c>
      <c r="N55" s="202">
        <v>0</v>
      </c>
      <c r="O55" s="201">
        <v>7038.3311407089304</v>
      </c>
      <c r="P55" s="201">
        <v>32166454.030000001</v>
      </c>
      <c r="Q55" s="201">
        <v>6162094.2000000002</v>
      </c>
      <c r="R55" s="201">
        <v>9889739.2699999996</v>
      </c>
      <c r="S55" s="201">
        <v>273213.12</v>
      </c>
      <c r="T55" s="201">
        <v>0</v>
      </c>
      <c r="U55" s="201">
        <v>0</v>
      </c>
      <c r="V55" s="201">
        <f t="shared" si="4"/>
        <v>48491500.619999997</v>
      </c>
      <c r="W55" s="201">
        <v>20878830</v>
      </c>
      <c r="X55" s="201">
        <v>27612670.620000001</v>
      </c>
      <c r="Y55" s="201">
        <v>0</v>
      </c>
      <c r="Z55" s="229">
        <f t="shared" si="5"/>
        <v>27612670.620000001</v>
      </c>
      <c r="AA55" s="201">
        <v>27324469.02</v>
      </c>
      <c r="AB55" s="201">
        <v>25886339.07</v>
      </c>
      <c r="AD55" s="196"/>
      <c r="AE55" s="197"/>
    </row>
    <row r="56" spans="1:31" s="195" customFormat="1" ht="13.5" customHeight="1" outlineLevel="1">
      <c r="A56" s="221"/>
      <c r="B56" s="221"/>
      <c r="C56" s="230"/>
      <c r="D56" s="223" t="s">
        <v>266</v>
      </c>
      <c r="E56" s="222"/>
      <c r="F56" s="222"/>
      <c r="G56" s="246"/>
      <c r="H56" s="247">
        <f>SUBTOTAL(9,H42:H55)</f>
        <v>504700</v>
      </c>
      <c r="I56" s="246"/>
      <c r="J56" s="246"/>
      <c r="K56" s="248">
        <f t="shared" ref="K56:AB56" si="7">SUBTOTAL(9,K42:K55)</f>
        <v>66224.734999999986</v>
      </c>
      <c r="L56" s="248">
        <f t="shared" si="7"/>
        <v>1438.2457999999999</v>
      </c>
      <c r="M56" s="248">
        <f t="shared" si="7"/>
        <v>3455.7498999999975</v>
      </c>
      <c r="N56" s="248">
        <f t="shared" si="7"/>
        <v>59.141199999999998</v>
      </c>
      <c r="O56" s="246">
        <f t="shared" si="7"/>
        <v>98536.635969925032</v>
      </c>
      <c r="P56" s="246">
        <f t="shared" si="7"/>
        <v>691089878.05999994</v>
      </c>
      <c r="Q56" s="246">
        <f t="shared" si="7"/>
        <v>132391370.35000001</v>
      </c>
      <c r="R56" s="246">
        <f t="shared" si="7"/>
        <v>535900571.36000001</v>
      </c>
      <c r="S56" s="246">
        <f t="shared" si="7"/>
        <v>13807159.68</v>
      </c>
      <c r="T56" s="246">
        <f t="shared" si="7"/>
        <v>31101749.099999998</v>
      </c>
      <c r="U56" s="246">
        <f t="shared" si="7"/>
        <v>709694.4</v>
      </c>
      <c r="V56" s="246">
        <f t="shared" si="7"/>
        <v>1405000422.9499998</v>
      </c>
      <c r="W56" s="246">
        <f t="shared" si="7"/>
        <v>640310200</v>
      </c>
      <c r="X56" s="246">
        <f t="shared" si="7"/>
        <v>764690222.95000005</v>
      </c>
      <c r="Y56" s="246">
        <f t="shared" si="7"/>
        <v>15876395.6</v>
      </c>
      <c r="Z56" s="249">
        <f t="shared" si="7"/>
        <v>780566618.55000007</v>
      </c>
      <c r="AA56" s="246">
        <f t="shared" si="7"/>
        <v>725289520.38</v>
      </c>
      <c r="AB56" s="246">
        <f t="shared" si="7"/>
        <v>687116387.71000016</v>
      </c>
      <c r="AD56" s="196"/>
      <c r="AE56" s="197"/>
    </row>
    <row r="57" spans="1:31" s="195" customFormat="1" ht="13.5" customHeight="1" outlineLevel="2">
      <c r="A57" s="211">
        <v>548</v>
      </c>
      <c r="B57" s="211" t="s">
        <v>26</v>
      </c>
      <c r="C57" s="212" t="s">
        <v>133</v>
      </c>
      <c r="D57" s="212" t="s">
        <v>134</v>
      </c>
      <c r="E57" s="212" t="s">
        <v>135</v>
      </c>
      <c r="F57" s="212" t="s">
        <v>136</v>
      </c>
      <c r="G57" s="231">
        <v>1.1000000000000001</v>
      </c>
      <c r="H57" s="232">
        <v>113184</v>
      </c>
      <c r="I57" s="231">
        <v>1060.0746291878711</v>
      </c>
      <c r="J57" s="231">
        <v>204.61961116412215</v>
      </c>
      <c r="K57" s="233">
        <v>25036.7287</v>
      </c>
      <c r="L57" s="233">
        <v>802.25710000000004</v>
      </c>
      <c r="M57" s="233">
        <v>612.93159999999966</v>
      </c>
      <c r="N57" s="233">
        <v>158.67240000000004</v>
      </c>
      <c r="O57" s="231">
        <v>7038.3311407089304</v>
      </c>
      <c r="P57" s="231">
        <v>119983486.83</v>
      </c>
      <c r="Q57" s="231">
        <v>23159666.07</v>
      </c>
      <c r="R57" s="231">
        <v>193838466.21000001</v>
      </c>
      <c r="S57" s="231">
        <v>7701668.1600000001</v>
      </c>
      <c r="T57" s="231">
        <v>5516384.4000000004</v>
      </c>
      <c r="U57" s="231">
        <v>1904068.8</v>
      </c>
      <c r="V57" s="231">
        <f t="shared" si="4"/>
        <v>352103740.47000003</v>
      </c>
      <c r="W57" s="231">
        <v>226005100</v>
      </c>
      <c r="X57" s="231">
        <v>126098640.47</v>
      </c>
      <c r="Y57" s="201">
        <v>7190376.9900000002</v>
      </c>
      <c r="Z57" s="234">
        <f t="shared" si="5"/>
        <v>133289017.45999999</v>
      </c>
      <c r="AA57" s="231">
        <v>133289017.45999999</v>
      </c>
      <c r="AB57" s="231">
        <v>126273806.02</v>
      </c>
      <c r="AD57" s="196"/>
      <c r="AE57" s="197"/>
    </row>
    <row r="58" spans="1:31" s="195" customFormat="1" ht="13.5" customHeight="1" outlineLevel="2">
      <c r="A58" s="199">
        <v>549</v>
      </c>
      <c r="B58" s="199" t="s">
        <v>26</v>
      </c>
      <c r="C58" s="200" t="s">
        <v>133</v>
      </c>
      <c r="D58" s="200" t="s">
        <v>134</v>
      </c>
      <c r="E58" s="200" t="s">
        <v>137</v>
      </c>
      <c r="F58" s="200" t="s">
        <v>138</v>
      </c>
      <c r="G58" s="201">
        <v>1.1499999999999999</v>
      </c>
      <c r="H58" s="228">
        <v>59426</v>
      </c>
      <c r="I58" s="201">
        <v>1251.4872437990107</v>
      </c>
      <c r="J58" s="201">
        <v>241.56679752970081</v>
      </c>
      <c r="K58" s="202">
        <v>4158.5572000000002</v>
      </c>
      <c r="L58" s="202">
        <v>72.887799999999999</v>
      </c>
      <c r="M58" s="202">
        <v>0</v>
      </c>
      <c r="N58" s="202">
        <v>0</v>
      </c>
      <c r="O58" s="201">
        <v>7038.3311407089304</v>
      </c>
      <c r="P58" s="201">
        <v>74370880.950000003</v>
      </c>
      <c r="Q58" s="201">
        <v>14355348.51</v>
      </c>
      <c r="R58" s="201">
        <v>33659698.18</v>
      </c>
      <c r="S58" s="201">
        <v>699722.88</v>
      </c>
      <c r="T58" s="201">
        <v>0</v>
      </c>
      <c r="U58" s="201">
        <v>0</v>
      </c>
      <c r="V58" s="201">
        <f t="shared" si="4"/>
        <v>123085650.52000001</v>
      </c>
      <c r="W58" s="201">
        <v>63829513</v>
      </c>
      <c r="X58" s="201">
        <v>59256137.520000003</v>
      </c>
      <c r="Y58" s="201">
        <v>5329898.3899999997</v>
      </c>
      <c r="Z58" s="229">
        <f t="shared" si="5"/>
        <v>64586035.910000004</v>
      </c>
      <c r="AA58" s="201">
        <v>64586035.909999996</v>
      </c>
      <c r="AB58" s="201">
        <v>61186770.859999999</v>
      </c>
      <c r="AD58" s="196"/>
      <c r="AE58" s="197"/>
    </row>
    <row r="59" spans="1:31" s="195" customFormat="1" ht="13.5" customHeight="1" outlineLevel="2">
      <c r="A59" s="199">
        <v>550</v>
      </c>
      <c r="B59" s="199" t="s">
        <v>26</v>
      </c>
      <c r="C59" s="200" t="s">
        <v>133</v>
      </c>
      <c r="D59" s="200" t="s">
        <v>134</v>
      </c>
      <c r="E59" s="200" t="s">
        <v>139</v>
      </c>
      <c r="F59" s="200" t="s">
        <v>140</v>
      </c>
      <c r="G59" s="201">
        <v>1.3</v>
      </c>
      <c r="H59" s="228">
        <v>23573</v>
      </c>
      <c r="I59" s="201">
        <v>1549.9184414372376</v>
      </c>
      <c r="J59" s="201">
        <v>299.17111525898275</v>
      </c>
      <c r="K59" s="202">
        <v>1035.9312</v>
      </c>
      <c r="L59" s="202">
        <v>31.698699999999999</v>
      </c>
      <c r="M59" s="202">
        <v>0</v>
      </c>
      <c r="N59" s="202">
        <v>0</v>
      </c>
      <c r="O59" s="201">
        <v>7038.3311407089304</v>
      </c>
      <c r="P59" s="201">
        <v>36536227.420000002</v>
      </c>
      <c r="Q59" s="201">
        <v>7052360.7000000002</v>
      </c>
      <c r="R59" s="201">
        <v>9478595.1500000004</v>
      </c>
      <c r="S59" s="201">
        <v>304307.52</v>
      </c>
      <c r="T59" s="201">
        <v>0</v>
      </c>
      <c r="U59" s="201">
        <v>0</v>
      </c>
      <c r="V59" s="201">
        <f t="shared" si="4"/>
        <v>53371490.790000007</v>
      </c>
      <c r="W59" s="201">
        <v>29102865</v>
      </c>
      <c r="X59" s="201">
        <v>24268625.789999999</v>
      </c>
      <c r="Y59" s="201">
        <v>0</v>
      </c>
      <c r="Z59" s="229">
        <f t="shared" si="5"/>
        <v>24268625.789999999</v>
      </c>
      <c r="AA59" s="201">
        <v>22480518.870000001</v>
      </c>
      <c r="AB59" s="201">
        <v>21297333.66</v>
      </c>
      <c r="AD59" s="196"/>
      <c r="AE59" s="197"/>
    </row>
    <row r="60" spans="1:31" s="195" customFormat="1" ht="13.5" customHeight="1" outlineLevel="2">
      <c r="A60" s="199">
        <v>551</v>
      </c>
      <c r="B60" s="199" t="s">
        <v>26</v>
      </c>
      <c r="C60" s="200" t="s">
        <v>133</v>
      </c>
      <c r="D60" s="200" t="s">
        <v>134</v>
      </c>
      <c r="E60" s="200" t="s">
        <v>141</v>
      </c>
      <c r="F60" s="200" t="s">
        <v>142</v>
      </c>
      <c r="G60" s="201">
        <v>1.3</v>
      </c>
      <c r="H60" s="228">
        <v>20766</v>
      </c>
      <c r="I60" s="201">
        <v>1586.5801391697969</v>
      </c>
      <c r="J60" s="201">
        <v>306.24769478955983</v>
      </c>
      <c r="K60" s="202">
        <v>1600.0196000000001</v>
      </c>
      <c r="L60" s="202">
        <v>32.459099999999999</v>
      </c>
      <c r="M60" s="202">
        <v>0</v>
      </c>
      <c r="N60" s="202">
        <v>0</v>
      </c>
      <c r="O60" s="201">
        <v>7038.3311407089304</v>
      </c>
      <c r="P60" s="201">
        <v>32946923.170000002</v>
      </c>
      <c r="Q60" s="201">
        <v>6359539.6299999999</v>
      </c>
      <c r="R60" s="201">
        <v>14639908.25</v>
      </c>
      <c r="S60" s="201">
        <v>311607.36</v>
      </c>
      <c r="T60" s="201">
        <v>0</v>
      </c>
      <c r="U60" s="201">
        <v>0</v>
      </c>
      <c r="V60" s="201">
        <f t="shared" si="4"/>
        <v>54257978.410000004</v>
      </c>
      <c r="W60" s="201">
        <v>23998564</v>
      </c>
      <c r="X60" s="201">
        <v>30259414.41</v>
      </c>
      <c r="Y60" s="201">
        <v>0</v>
      </c>
      <c r="Z60" s="229">
        <f t="shared" si="5"/>
        <v>30259414.41</v>
      </c>
      <c r="AA60" s="201">
        <v>27687995.539999999</v>
      </c>
      <c r="AB60" s="201">
        <v>26230732.609999999</v>
      </c>
      <c r="AD60" s="196"/>
      <c r="AE60" s="197"/>
    </row>
    <row r="61" spans="1:31" s="195" customFormat="1" ht="13.5" customHeight="1" outlineLevel="2">
      <c r="A61" s="199">
        <v>552</v>
      </c>
      <c r="B61" s="199" t="s">
        <v>26</v>
      </c>
      <c r="C61" s="200" t="s">
        <v>133</v>
      </c>
      <c r="D61" s="200" t="s">
        <v>134</v>
      </c>
      <c r="E61" s="200" t="s">
        <v>143</v>
      </c>
      <c r="F61" s="200" t="s">
        <v>144</v>
      </c>
      <c r="G61" s="201">
        <v>1.1499999999999999</v>
      </c>
      <c r="H61" s="228">
        <v>63797</v>
      </c>
      <c r="I61" s="201">
        <v>1225.602412339138</v>
      </c>
      <c r="J61" s="201">
        <v>236.57040942364063</v>
      </c>
      <c r="K61" s="202">
        <v>15479.2256</v>
      </c>
      <c r="L61" s="202">
        <v>185.00049999999999</v>
      </c>
      <c r="M61" s="202">
        <v>246.59649999999996</v>
      </c>
      <c r="N61" s="202">
        <v>25.874000000000002</v>
      </c>
      <c r="O61" s="201">
        <v>7038.3311407089304</v>
      </c>
      <c r="P61" s="201">
        <v>78189757.099999994</v>
      </c>
      <c r="Q61" s="201">
        <v>15092482.41</v>
      </c>
      <c r="R61" s="201">
        <v>125290102.63</v>
      </c>
      <c r="S61" s="201">
        <v>1776004.8</v>
      </c>
      <c r="T61" s="201">
        <v>2219368.5</v>
      </c>
      <c r="U61" s="201">
        <v>310488</v>
      </c>
      <c r="V61" s="201">
        <f t="shared" si="4"/>
        <v>222878203.44</v>
      </c>
      <c r="W61" s="201">
        <v>105614700</v>
      </c>
      <c r="X61" s="201">
        <v>117263503.44</v>
      </c>
      <c r="Y61" s="201">
        <v>5036880.57</v>
      </c>
      <c r="Z61" s="229">
        <f t="shared" si="5"/>
        <v>122300384.00999999</v>
      </c>
      <c r="AA61" s="201">
        <v>122300384.01000001</v>
      </c>
      <c r="AB61" s="201">
        <v>115863521.7</v>
      </c>
      <c r="AD61" s="196"/>
      <c r="AE61" s="197"/>
    </row>
    <row r="62" spans="1:31" s="195" customFormat="1" ht="13.5" customHeight="1" outlineLevel="2">
      <c r="A62" s="199">
        <v>553</v>
      </c>
      <c r="B62" s="199" t="s">
        <v>26</v>
      </c>
      <c r="C62" s="200" t="s">
        <v>133</v>
      </c>
      <c r="D62" s="200" t="s">
        <v>134</v>
      </c>
      <c r="E62" s="200" t="s">
        <v>145</v>
      </c>
      <c r="F62" s="200" t="s">
        <v>146</v>
      </c>
      <c r="G62" s="201">
        <v>1.3</v>
      </c>
      <c r="H62" s="228">
        <v>20286</v>
      </c>
      <c r="I62" s="201">
        <v>1593.8651439416346</v>
      </c>
      <c r="J62" s="201">
        <v>307.65387410036482</v>
      </c>
      <c r="K62" s="202">
        <v>764.00919999999996</v>
      </c>
      <c r="L62" s="202">
        <v>14.5219</v>
      </c>
      <c r="M62" s="202">
        <v>0</v>
      </c>
      <c r="N62" s="202">
        <v>0</v>
      </c>
      <c r="O62" s="201">
        <v>7038.3311407089304</v>
      </c>
      <c r="P62" s="201">
        <v>32333148.309999999</v>
      </c>
      <c r="Q62" s="201">
        <v>6241066.4900000002</v>
      </c>
      <c r="R62" s="201">
        <v>6990554.9500000002</v>
      </c>
      <c r="S62" s="201">
        <v>139410.23999999999</v>
      </c>
      <c r="T62" s="201">
        <v>0</v>
      </c>
      <c r="U62" s="201">
        <v>0</v>
      </c>
      <c r="V62" s="201">
        <f t="shared" si="4"/>
        <v>45704179.990000002</v>
      </c>
      <c r="W62" s="201">
        <v>18503619</v>
      </c>
      <c r="X62" s="201">
        <v>27200560.989999998</v>
      </c>
      <c r="Y62" s="201">
        <v>0</v>
      </c>
      <c r="Z62" s="229">
        <f t="shared" si="5"/>
        <v>27200560.989999998</v>
      </c>
      <c r="AA62" s="201">
        <v>21985478.690000001</v>
      </c>
      <c r="AB62" s="201">
        <v>20828348.239999998</v>
      </c>
      <c r="AD62" s="196"/>
      <c r="AE62" s="197"/>
    </row>
    <row r="63" spans="1:31" s="195" customFormat="1" ht="13.5" customHeight="1" outlineLevel="2">
      <c r="A63" s="199">
        <v>554</v>
      </c>
      <c r="B63" s="199" t="s">
        <v>26</v>
      </c>
      <c r="C63" s="200" t="s">
        <v>133</v>
      </c>
      <c r="D63" s="200" t="s">
        <v>134</v>
      </c>
      <c r="E63" s="200" t="s">
        <v>147</v>
      </c>
      <c r="F63" s="200" t="s">
        <v>148</v>
      </c>
      <c r="G63" s="201">
        <v>1.35</v>
      </c>
      <c r="H63" s="228">
        <v>12008</v>
      </c>
      <c r="I63" s="201">
        <v>1689.5554596935376</v>
      </c>
      <c r="J63" s="201">
        <v>326.12437958027982</v>
      </c>
      <c r="K63" s="202">
        <v>747.43359999999996</v>
      </c>
      <c r="L63" s="202">
        <v>16.221900000000002</v>
      </c>
      <c r="M63" s="202">
        <v>0</v>
      </c>
      <c r="N63" s="202">
        <v>0</v>
      </c>
      <c r="O63" s="201">
        <v>7038.3311407089304</v>
      </c>
      <c r="P63" s="201">
        <v>20288181.960000001</v>
      </c>
      <c r="Q63" s="201">
        <v>3916101.55</v>
      </c>
      <c r="R63" s="201">
        <v>7101925.2800000003</v>
      </c>
      <c r="S63" s="201">
        <v>155730.23999999999</v>
      </c>
      <c r="T63" s="201">
        <v>0</v>
      </c>
      <c r="U63" s="201">
        <v>0</v>
      </c>
      <c r="V63" s="201">
        <f t="shared" si="4"/>
        <v>31461939.030000001</v>
      </c>
      <c r="W63" s="201">
        <v>12731420</v>
      </c>
      <c r="X63" s="201">
        <v>18730519.030000001</v>
      </c>
      <c r="Y63" s="201">
        <v>0</v>
      </c>
      <c r="Z63" s="229">
        <f t="shared" si="5"/>
        <v>18730519.030000001</v>
      </c>
      <c r="AA63" s="201">
        <v>13349726.470000001</v>
      </c>
      <c r="AB63" s="201">
        <v>12647109.289999999</v>
      </c>
      <c r="AD63" s="196"/>
      <c r="AE63" s="197"/>
    </row>
    <row r="64" spans="1:31" s="195" customFormat="1" ht="13.5" customHeight="1" outlineLevel="2">
      <c r="A64" s="199">
        <v>555</v>
      </c>
      <c r="B64" s="199" t="s">
        <v>26</v>
      </c>
      <c r="C64" s="200" t="s">
        <v>133</v>
      </c>
      <c r="D64" s="200" t="s">
        <v>134</v>
      </c>
      <c r="E64" s="200" t="s">
        <v>149</v>
      </c>
      <c r="F64" s="200" t="s">
        <v>150</v>
      </c>
      <c r="G64" s="201">
        <v>1.25</v>
      </c>
      <c r="H64" s="228">
        <v>36674</v>
      </c>
      <c r="I64" s="201">
        <v>1419.7878123466214</v>
      </c>
      <c r="J64" s="201">
        <v>274.05280934722146</v>
      </c>
      <c r="K64" s="202">
        <v>1199.5108</v>
      </c>
      <c r="L64" s="202">
        <v>26.208500000000001</v>
      </c>
      <c r="M64" s="202">
        <v>0</v>
      </c>
      <c r="N64" s="202">
        <v>0</v>
      </c>
      <c r="O64" s="201">
        <v>7038.3311407089304</v>
      </c>
      <c r="P64" s="201">
        <v>52069298.229999997</v>
      </c>
      <c r="Q64" s="201">
        <v>10050612.73</v>
      </c>
      <c r="R64" s="201">
        <v>10553192.77</v>
      </c>
      <c r="S64" s="201">
        <v>251601.6</v>
      </c>
      <c r="T64" s="201">
        <v>0</v>
      </c>
      <c r="U64" s="201">
        <v>0</v>
      </c>
      <c r="V64" s="201">
        <f t="shared" si="4"/>
        <v>72924705.329999983</v>
      </c>
      <c r="W64" s="201">
        <v>17544512</v>
      </c>
      <c r="X64" s="201">
        <v>55380193.329999998</v>
      </c>
      <c r="Y64" s="201">
        <v>0</v>
      </c>
      <c r="Z64" s="229">
        <f t="shared" si="5"/>
        <v>55380193.329999998</v>
      </c>
      <c r="AA64" s="201">
        <v>45857934.68</v>
      </c>
      <c r="AB64" s="201">
        <v>43444359.170000002</v>
      </c>
      <c r="AD64" s="196"/>
      <c r="AE64" s="197"/>
    </row>
    <row r="65" spans="1:31" s="195" customFormat="1" ht="13.5" customHeight="1" outlineLevel="2">
      <c r="A65" s="199">
        <v>556</v>
      </c>
      <c r="B65" s="199" t="s">
        <v>26</v>
      </c>
      <c r="C65" s="200" t="s">
        <v>133</v>
      </c>
      <c r="D65" s="200" t="s">
        <v>134</v>
      </c>
      <c r="E65" s="200" t="s">
        <v>151</v>
      </c>
      <c r="F65" s="200" t="s">
        <v>152</v>
      </c>
      <c r="G65" s="201">
        <v>1.3</v>
      </c>
      <c r="H65" s="228">
        <v>29211</v>
      </c>
      <c r="I65" s="201">
        <v>1497.5702533292254</v>
      </c>
      <c r="J65" s="201">
        <v>289.06667009003456</v>
      </c>
      <c r="K65" s="202">
        <v>756.48389999999995</v>
      </c>
      <c r="L65" s="202">
        <v>16.392700000000001</v>
      </c>
      <c r="M65" s="202">
        <v>0</v>
      </c>
      <c r="N65" s="202">
        <v>0</v>
      </c>
      <c r="O65" s="201">
        <v>7038.3311407089304</v>
      </c>
      <c r="P65" s="201">
        <v>43745524.670000002</v>
      </c>
      <c r="Q65" s="201">
        <v>8443926.5</v>
      </c>
      <c r="R65" s="201">
        <v>6921699.6600000001</v>
      </c>
      <c r="S65" s="201">
        <v>157369.92000000001</v>
      </c>
      <c r="T65" s="201">
        <v>0</v>
      </c>
      <c r="U65" s="201">
        <v>0</v>
      </c>
      <c r="V65" s="201">
        <f t="shared" si="4"/>
        <v>59268520.75</v>
      </c>
      <c r="W65" s="201">
        <v>16453207</v>
      </c>
      <c r="X65" s="201">
        <v>42815313.75</v>
      </c>
      <c r="Y65" s="201">
        <v>0</v>
      </c>
      <c r="Z65" s="229">
        <f t="shared" si="5"/>
        <v>42815313.75</v>
      </c>
      <c r="AA65" s="201">
        <v>30559847.68</v>
      </c>
      <c r="AB65" s="201">
        <v>28951434.649999999</v>
      </c>
      <c r="AD65" s="196"/>
      <c r="AE65" s="197"/>
    </row>
    <row r="66" spans="1:31" s="195" customFormat="1" ht="13.5" customHeight="1" outlineLevel="1">
      <c r="A66" s="221"/>
      <c r="B66" s="221"/>
      <c r="C66" s="230"/>
      <c r="D66" s="223" t="s">
        <v>267</v>
      </c>
      <c r="E66" s="222"/>
      <c r="F66" s="222"/>
      <c r="G66" s="246"/>
      <c r="H66" s="247">
        <f>SUBTOTAL(9,H57:H65)</f>
        <v>378925</v>
      </c>
      <c r="I66" s="246"/>
      <c r="J66" s="246"/>
      <c r="K66" s="248">
        <f t="shared" ref="K66:AB66" si="8">SUBTOTAL(9,K57:K65)</f>
        <v>50777.899799999992</v>
      </c>
      <c r="L66" s="248">
        <f t="shared" si="8"/>
        <v>1197.6482000000001</v>
      </c>
      <c r="M66" s="248">
        <f t="shared" si="8"/>
        <v>859.52809999999965</v>
      </c>
      <c r="N66" s="248">
        <f t="shared" si="8"/>
        <v>184.54640000000003</v>
      </c>
      <c r="O66" s="246">
        <f t="shared" si="8"/>
        <v>63344.980266380364</v>
      </c>
      <c r="P66" s="246">
        <f t="shared" si="8"/>
        <v>490463428.64000005</v>
      </c>
      <c r="Q66" s="246">
        <f t="shared" si="8"/>
        <v>94671104.590000004</v>
      </c>
      <c r="R66" s="246">
        <f t="shared" si="8"/>
        <v>408474143.07999998</v>
      </c>
      <c r="S66" s="246">
        <f t="shared" si="8"/>
        <v>11497422.720000001</v>
      </c>
      <c r="T66" s="246">
        <f t="shared" si="8"/>
        <v>7735752.9000000004</v>
      </c>
      <c r="U66" s="246">
        <f t="shared" si="8"/>
        <v>2214556.7999999998</v>
      </c>
      <c r="V66" s="246">
        <f t="shared" si="8"/>
        <v>1015056408.73</v>
      </c>
      <c r="W66" s="246">
        <f t="shared" si="8"/>
        <v>513783500</v>
      </c>
      <c r="X66" s="246">
        <f t="shared" si="8"/>
        <v>501272908.72999996</v>
      </c>
      <c r="Y66" s="246">
        <f t="shared" si="8"/>
        <v>17557155.949999999</v>
      </c>
      <c r="Z66" s="249">
        <f t="shared" si="8"/>
        <v>518830064.68000001</v>
      </c>
      <c r="AA66" s="246">
        <f t="shared" si="8"/>
        <v>482096939.31000006</v>
      </c>
      <c r="AB66" s="246">
        <f t="shared" si="8"/>
        <v>456723416.19999999</v>
      </c>
      <c r="AD66" s="196"/>
      <c r="AE66" s="197"/>
    </row>
    <row r="67" spans="1:31" s="195" customFormat="1" ht="13.5" customHeight="1" outlineLevel="2">
      <c r="A67" s="211">
        <v>557</v>
      </c>
      <c r="B67" s="211" t="s">
        <v>26</v>
      </c>
      <c r="C67" s="212" t="s">
        <v>153</v>
      </c>
      <c r="D67" s="212" t="s">
        <v>154</v>
      </c>
      <c r="E67" s="212" t="s">
        <v>155</v>
      </c>
      <c r="F67" s="212" t="s">
        <v>156</v>
      </c>
      <c r="G67" s="231">
        <v>1.05</v>
      </c>
      <c r="H67" s="232">
        <v>144189</v>
      </c>
      <c r="I67" s="231">
        <v>963.68059734098995</v>
      </c>
      <c r="J67" s="231">
        <v>191.61031958055054</v>
      </c>
      <c r="K67" s="233">
        <v>64935.822200000002</v>
      </c>
      <c r="L67" s="233">
        <v>1697.0589</v>
      </c>
      <c r="M67" s="233">
        <v>2832.3826000000004</v>
      </c>
      <c r="N67" s="233">
        <v>456.93419999999998</v>
      </c>
      <c r="O67" s="231">
        <v>7038.3311407089304</v>
      </c>
      <c r="P67" s="231">
        <v>138952141.65000001</v>
      </c>
      <c r="Q67" s="231">
        <v>27628100.370000001</v>
      </c>
      <c r="R67" s="231">
        <v>479891810.44</v>
      </c>
      <c r="S67" s="231">
        <v>16291765.439999999</v>
      </c>
      <c r="T67" s="231">
        <v>25491443.399999999</v>
      </c>
      <c r="U67" s="231">
        <v>5483210.4000000004</v>
      </c>
      <c r="V67" s="231">
        <f t="shared" si="4"/>
        <v>693738471.70000005</v>
      </c>
      <c r="W67" s="231">
        <v>354616969</v>
      </c>
      <c r="X67" s="231">
        <v>339121502.69999999</v>
      </c>
      <c r="Y67" s="201">
        <v>0</v>
      </c>
      <c r="Z67" s="234">
        <f t="shared" si="5"/>
        <v>339121502.69999999</v>
      </c>
      <c r="AA67" s="231">
        <v>318658821.37</v>
      </c>
      <c r="AB67" s="231">
        <v>301887304.44999999</v>
      </c>
      <c r="AD67" s="196"/>
      <c r="AE67" s="197"/>
    </row>
    <row r="68" spans="1:31" s="195" customFormat="1" ht="13.5" customHeight="1" outlineLevel="2">
      <c r="A68" s="199">
        <v>558</v>
      </c>
      <c r="B68" s="199" t="s">
        <v>26</v>
      </c>
      <c r="C68" s="200" t="s">
        <v>153</v>
      </c>
      <c r="D68" s="200" t="s">
        <v>154</v>
      </c>
      <c r="E68" s="200" t="s">
        <v>157</v>
      </c>
      <c r="F68" s="200" t="s">
        <v>158</v>
      </c>
      <c r="G68" s="201">
        <v>1.25</v>
      </c>
      <c r="H68" s="228">
        <v>36206</v>
      </c>
      <c r="I68" s="201">
        <v>1370.5766806606639</v>
      </c>
      <c r="J68" s="201">
        <v>272.51418825609011</v>
      </c>
      <c r="K68" s="202">
        <v>1801.1591000000001</v>
      </c>
      <c r="L68" s="202">
        <v>37.211599999999997</v>
      </c>
      <c r="M68" s="202">
        <v>0</v>
      </c>
      <c r="N68" s="202">
        <v>0</v>
      </c>
      <c r="O68" s="201">
        <v>7038.3311407089304</v>
      </c>
      <c r="P68" s="201">
        <v>49623099.299999997</v>
      </c>
      <c r="Q68" s="201">
        <v>9866648.6999999993</v>
      </c>
      <c r="R68" s="201">
        <v>15846442.9</v>
      </c>
      <c r="S68" s="201">
        <v>357231.35999999999</v>
      </c>
      <c r="T68" s="201">
        <v>0</v>
      </c>
      <c r="U68" s="201">
        <v>0</v>
      </c>
      <c r="V68" s="201">
        <f t="shared" si="4"/>
        <v>75693422.260000005</v>
      </c>
      <c r="W68" s="201">
        <v>28883024</v>
      </c>
      <c r="X68" s="201">
        <v>46810398.259999998</v>
      </c>
      <c r="Y68" s="201">
        <v>0</v>
      </c>
      <c r="Z68" s="229">
        <f t="shared" si="5"/>
        <v>46810398.259999998</v>
      </c>
      <c r="AA68" s="201">
        <v>38583787.390000001</v>
      </c>
      <c r="AB68" s="201">
        <v>36553061.740000002</v>
      </c>
      <c r="AD68" s="196"/>
      <c r="AE68" s="197"/>
    </row>
    <row r="69" spans="1:31" s="195" customFormat="1" ht="13.5" customHeight="1" outlineLevel="2">
      <c r="A69" s="199">
        <v>559</v>
      </c>
      <c r="B69" s="199" t="s">
        <v>26</v>
      </c>
      <c r="C69" s="200" t="s">
        <v>153</v>
      </c>
      <c r="D69" s="200" t="s">
        <v>154</v>
      </c>
      <c r="E69" s="200" t="s">
        <v>159</v>
      </c>
      <c r="F69" s="200" t="s">
        <v>160</v>
      </c>
      <c r="G69" s="201">
        <v>1.3</v>
      </c>
      <c r="H69" s="228">
        <v>24217</v>
      </c>
      <c r="I69" s="201">
        <v>1484.8575645207911</v>
      </c>
      <c r="J69" s="201">
        <v>295.23685881818557</v>
      </c>
      <c r="K69" s="202">
        <v>1380.0408</v>
      </c>
      <c r="L69" s="202">
        <v>11.3102</v>
      </c>
      <c r="M69" s="202">
        <v>0</v>
      </c>
      <c r="N69" s="202">
        <v>0</v>
      </c>
      <c r="O69" s="201">
        <v>7038.3311407089304</v>
      </c>
      <c r="P69" s="201">
        <v>35958795.640000001</v>
      </c>
      <c r="Q69" s="201">
        <v>7149751.0099999998</v>
      </c>
      <c r="R69" s="201">
        <v>12627139.1</v>
      </c>
      <c r="S69" s="201">
        <v>108577.92</v>
      </c>
      <c r="T69" s="201">
        <v>0</v>
      </c>
      <c r="U69" s="201">
        <v>0</v>
      </c>
      <c r="V69" s="201">
        <f t="shared" si="4"/>
        <v>55844263.670000002</v>
      </c>
      <c r="W69" s="201">
        <v>26527934</v>
      </c>
      <c r="X69" s="201">
        <v>29316329.670000002</v>
      </c>
      <c r="Y69" s="201">
        <v>0</v>
      </c>
      <c r="Z69" s="229">
        <f t="shared" si="5"/>
        <v>29316329.670000002</v>
      </c>
      <c r="AA69" s="201">
        <v>26222865.710000001</v>
      </c>
      <c r="AB69" s="201">
        <v>24842714.890000001</v>
      </c>
      <c r="AD69" s="196"/>
      <c r="AE69" s="197"/>
    </row>
    <row r="70" spans="1:31" s="195" customFormat="1" ht="13.5" customHeight="1" outlineLevel="2">
      <c r="A70" s="199">
        <v>560</v>
      </c>
      <c r="B70" s="199" t="s">
        <v>26</v>
      </c>
      <c r="C70" s="200" t="s">
        <v>153</v>
      </c>
      <c r="D70" s="200" t="s">
        <v>154</v>
      </c>
      <c r="E70" s="200" t="s">
        <v>161</v>
      </c>
      <c r="F70" s="200" t="s">
        <v>162</v>
      </c>
      <c r="G70" s="201">
        <v>1.1499999999999999</v>
      </c>
      <c r="H70" s="228">
        <v>55403</v>
      </c>
      <c r="I70" s="201">
        <v>1228.1912327852283</v>
      </c>
      <c r="J70" s="201">
        <v>244.20343753948345</v>
      </c>
      <c r="K70" s="202">
        <v>3467.9058</v>
      </c>
      <c r="L70" s="202">
        <v>60.6571</v>
      </c>
      <c r="M70" s="202">
        <v>0</v>
      </c>
      <c r="N70" s="202">
        <v>0</v>
      </c>
      <c r="O70" s="201">
        <v>7038.3311407089304</v>
      </c>
      <c r="P70" s="201">
        <v>68045478.870000005</v>
      </c>
      <c r="Q70" s="201">
        <v>13529603.050000001</v>
      </c>
      <c r="R70" s="201">
        <v>28069510</v>
      </c>
      <c r="S70" s="201">
        <v>582308.16</v>
      </c>
      <c r="T70" s="201">
        <v>0</v>
      </c>
      <c r="U70" s="201">
        <v>0</v>
      </c>
      <c r="V70" s="201">
        <f t="shared" si="4"/>
        <v>110226900.08</v>
      </c>
      <c r="W70" s="201">
        <v>59145686</v>
      </c>
      <c r="X70" s="201">
        <v>51081214.079999998</v>
      </c>
      <c r="Y70" s="201">
        <v>0</v>
      </c>
      <c r="Z70" s="229">
        <f t="shared" si="5"/>
        <v>51081214.079999998</v>
      </c>
      <c r="AA70" s="201">
        <v>46557767.060000002</v>
      </c>
      <c r="AB70" s="201">
        <v>44107358.270000003</v>
      </c>
      <c r="AD70" s="196"/>
      <c r="AE70" s="197"/>
    </row>
    <row r="71" spans="1:31" s="195" customFormat="1" ht="13.5" customHeight="1" outlineLevel="2">
      <c r="A71" s="199">
        <v>561</v>
      </c>
      <c r="B71" s="199" t="s">
        <v>26</v>
      </c>
      <c r="C71" s="200" t="s">
        <v>153</v>
      </c>
      <c r="D71" s="200" t="s">
        <v>154</v>
      </c>
      <c r="E71" s="200" t="s">
        <v>163</v>
      </c>
      <c r="F71" s="200" t="s">
        <v>164</v>
      </c>
      <c r="G71" s="201">
        <v>1.1499999999999999</v>
      </c>
      <c r="H71" s="228">
        <v>39258</v>
      </c>
      <c r="I71" s="201">
        <v>1346.0374667583676</v>
      </c>
      <c r="J71" s="201">
        <v>267.63501299098272</v>
      </c>
      <c r="K71" s="202">
        <v>3996.7566000000002</v>
      </c>
      <c r="L71" s="202">
        <v>116.1169</v>
      </c>
      <c r="M71" s="202">
        <v>0</v>
      </c>
      <c r="N71" s="202">
        <v>0</v>
      </c>
      <c r="O71" s="201">
        <v>7038.3311407089304</v>
      </c>
      <c r="P71" s="201">
        <v>52842738.869999997</v>
      </c>
      <c r="Q71" s="201">
        <v>10506815.34</v>
      </c>
      <c r="R71" s="201">
        <v>32350070.98</v>
      </c>
      <c r="S71" s="201">
        <v>1114722.24</v>
      </c>
      <c r="T71" s="201">
        <v>0</v>
      </c>
      <c r="U71" s="201">
        <v>0</v>
      </c>
      <c r="V71" s="201">
        <f t="shared" si="4"/>
        <v>96814347.429999992</v>
      </c>
      <c r="W71" s="201">
        <v>51742773</v>
      </c>
      <c r="X71" s="201">
        <v>45071574.43</v>
      </c>
      <c r="Y71" s="201">
        <v>0</v>
      </c>
      <c r="Z71" s="229">
        <f t="shared" si="5"/>
        <v>45071574.43</v>
      </c>
      <c r="AA71" s="201">
        <v>37817459.689999998</v>
      </c>
      <c r="AB71" s="201">
        <v>35827067.07</v>
      </c>
      <c r="AD71" s="196"/>
      <c r="AE71" s="197"/>
    </row>
    <row r="72" spans="1:31" s="195" customFormat="1" ht="13.5" customHeight="1" outlineLevel="2">
      <c r="A72" s="199">
        <v>562</v>
      </c>
      <c r="B72" s="199" t="s">
        <v>26</v>
      </c>
      <c r="C72" s="200" t="s">
        <v>153</v>
      </c>
      <c r="D72" s="200" t="s">
        <v>154</v>
      </c>
      <c r="E72" s="200" t="s">
        <v>165</v>
      </c>
      <c r="F72" s="200" t="s">
        <v>166</v>
      </c>
      <c r="G72" s="201">
        <v>1.25</v>
      </c>
      <c r="H72" s="228">
        <v>37876</v>
      </c>
      <c r="I72" s="201">
        <v>1356.6593272784876</v>
      </c>
      <c r="J72" s="201">
        <v>269.74697618544729</v>
      </c>
      <c r="K72" s="202">
        <v>1312.8268</v>
      </c>
      <c r="L72" s="202">
        <v>20.333600000000001</v>
      </c>
      <c r="M72" s="202">
        <v>0</v>
      </c>
      <c r="N72" s="202">
        <v>0</v>
      </c>
      <c r="O72" s="201">
        <v>7038.3311407089304</v>
      </c>
      <c r="P72" s="201">
        <v>51384828.68</v>
      </c>
      <c r="Q72" s="201">
        <v>10216936.470000001</v>
      </c>
      <c r="R72" s="201">
        <v>11550137.189999999</v>
      </c>
      <c r="S72" s="201">
        <v>195202.56</v>
      </c>
      <c r="T72" s="201">
        <v>0</v>
      </c>
      <c r="U72" s="201">
        <v>0</v>
      </c>
      <c r="V72" s="201">
        <f t="shared" si="4"/>
        <v>73347104.900000006</v>
      </c>
      <c r="W72" s="201">
        <v>32460579</v>
      </c>
      <c r="X72" s="201">
        <v>40886525.899999999</v>
      </c>
      <c r="Y72" s="201">
        <v>0</v>
      </c>
      <c r="Z72" s="229">
        <f t="shared" si="5"/>
        <v>40886525.899999999</v>
      </c>
      <c r="AA72" s="201">
        <v>34441540.689999998</v>
      </c>
      <c r="AB72" s="201">
        <v>32628828.02</v>
      </c>
      <c r="AD72" s="196"/>
      <c r="AE72" s="197"/>
    </row>
    <row r="73" spans="1:31" s="195" customFormat="1" ht="13.5" customHeight="1" outlineLevel="2">
      <c r="A73" s="199">
        <v>563</v>
      </c>
      <c r="B73" s="199" t="s">
        <v>26</v>
      </c>
      <c r="C73" s="200" t="s">
        <v>153</v>
      </c>
      <c r="D73" s="200" t="s">
        <v>154</v>
      </c>
      <c r="E73" s="200" t="s">
        <v>167</v>
      </c>
      <c r="F73" s="200" t="s">
        <v>168</v>
      </c>
      <c r="G73" s="201">
        <v>1.35</v>
      </c>
      <c r="H73" s="228">
        <v>10823</v>
      </c>
      <c r="I73" s="201">
        <v>1650.2476697773261</v>
      </c>
      <c r="J73" s="201">
        <v>328.1216668206597</v>
      </c>
      <c r="K73" s="202">
        <v>416.00130000000001</v>
      </c>
      <c r="L73" s="202">
        <v>6.5098000000000003</v>
      </c>
      <c r="M73" s="202">
        <v>0</v>
      </c>
      <c r="N73" s="202">
        <v>0</v>
      </c>
      <c r="O73" s="201">
        <v>7038.3311407089304</v>
      </c>
      <c r="P73" s="201">
        <v>17860630.530000001</v>
      </c>
      <c r="Q73" s="201">
        <v>3551260.8</v>
      </c>
      <c r="R73" s="201">
        <v>3952739.44</v>
      </c>
      <c r="S73" s="201">
        <v>62494.080000000002</v>
      </c>
      <c r="T73" s="201">
        <v>0</v>
      </c>
      <c r="U73" s="201">
        <v>0</v>
      </c>
      <c r="V73" s="201">
        <f t="shared" si="4"/>
        <v>25427124.850000001</v>
      </c>
      <c r="W73" s="201">
        <v>15663319</v>
      </c>
      <c r="X73" s="201">
        <v>9763805.8499999996</v>
      </c>
      <c r="Y73" s="201">
        <v>3325347.97</v>
      </c>
      <c r="Z73" s="229">
        <f t="shared" si="5"/>
        <v>13089153.82</v>
      </c>
      <c r="AA73" s="201">
        <v>13089153.82</v>
      </c>
      <c r="AB73" s="201">
        <v>12400250.99</v>
      </c>
      <c r="AD73" s="196"/>
      <c r="AE73" s="197"/>
    </row>
    <row r="74" spans="1:31" s="195" customFormat="1" ht="13.5" customHeight="1" outlineLevel="2">
      <c r="A74" s="199">
        <v>564</v>
      </c>
      <c r="B74" s="199" t="s">
        <v>26</v>
      </c>
      <c r="C74" s="200" t="s">
        <v>153</v>
      </c>
      <c r="D74" s="200" t="s">
        <v>154</v>
      </c>
      <c r="E74" s="200" t="s">
        <v>169</v>
      </c>
      <c r="F74" s="200" t="s">
        <v>170</v>
      </c>
      <c r="G74" s="201">
        <v>1.1499999999999999</v>
      </c>
      <c r="H74" s="228">
        <v>93034</v>
      </c>
      <c r="I74" s="201">
        <v>1069.9502783928456</v>
      </c>
      <c r="J74" s="201">
        <v>212.74010845497344</v>
      </c>
      <c r="K74" s="202">
        <v>10181.222100000001</v>
      </c>
      <c r="L74" s="202">
        <v>190.64879999999999</v>
      </c>
      <c r="M74" s="202">
        <v>236.45719999999997</v>
      </c>
      <c r="N74" s="202">
        <v>0</v>
      </c>
      <c r="O74" s="201">
        <v>7038.3311407089304</v>
      </c>
      <c r="P74" s="201">
        <v>99541754.200000003</v>
      </c>
      <c r="Q74" s="201">
        <v>19792063.25</v>
      </c>
      <c r="R74" s="201">
        <v>82407634.329999998</v>
      </c>
      <c r="S74" s="201">
        <v>1830228.48</v>
      </c>
      <c r="T74" s="201">
        <v>2128114.7999999998</v>
      </c>
      <c r="U74" s="201">
        <v>0</v>
      </c>
      <c r="V74" s="201">
        <f t="shared" si="4"/>
        <v>205699795.06</v>
      </c>
      <c r="W74" s="201">
        <v>80744719</v>
      </c>
      <c r="X74" s="201">
        <v>124955076.06</v>
      </c>
      <c r="Y74" s="201">
        <v>0</v>
      </c>
      <c r="Z74" s="229">
        <f t="shared" si="5"/>
        <v>124955076.06</v>
      </c>
      <c r="AA74" s="201">
        <v>111290828.27</v>
      </c>
      <c r="AB74" s="201">
        <v>105433416.25</v>
      </c>
      <c r="AD74" s="196"/>
      <c r="AE74" s="197"/>
    </row>
    <row r="75" spans="1:31" s="195" customFormat="1" ht="13.5" customHeight="1" outlineLevel="2">
      <c r="A75" s="199">
        <v>565</v>
      </c>
      <c r="B75" s="199" t="s">
        <v>26</v>
      </c>
      <c r="C75" s="200" t="s">
        <v>153</v>
      </c>
      <c r="D75" s="200" t="s">
        <v>154</v>
      </c>
      <c r="E75" s="200" t="s">
        <v>171</v>
      </c>
      <c r="F75" s="200" t="s">
        <v>172</v>
      </c>
      <c r="G75" s="201">
        <v>1.25</v>
      </c>
      <c r="H75" s="228">
        <v>30839</v>
      </c>
      <c r="I75" s="201">
        <v>1425.5099688705859</v>
      </c>
      <c r="J75" s="201">
        <v>283.43667142254935</v>
      </c>
      <c r="K75" s="202">
        <v>1576.0279</v>
      </c>
      <c r="L75" s="202">
        <v>31.1203</v>
      </c>
      <c r="M75" s="202">
        <v>0</v>
      </c>
      <c r="N75" s="202">
        <v>0</v>
      </c>
      <c r="O75" s="201">
        <v>7038.3311407089304</v>
      </c>
      <c r="P75" s="201">
        <v>43961301.93</v>
      </c>
      <c r="Q75" s="201">
        <v>8740903.5099999998</v>
      </c>
      <c r="R75" s="201">
        <v>13865757.98</v>
      </c>
      <c r="S75" s="201">
        <v>298754.88</v>
      </c>
      <c r="T75" s="201">
        <v>0</v>
      </c>
      <c r="U75" s="201">
        <v>0</v>
      </c>
      <c r="V75" s="201">
        <f t="shared" si="4"/>
        <v>66866718.300000004</v>
      </c>
      <c r="W75" s="201">
        <v>27970957</v>
      </c>
      <c r="X75" s="201">
        <v>38895761.299999997</v>
      </c>
      <c r="Y75" s="201">
        <v>0</v>
      </c>
      <c r="Z75" s="229">
        <f t="shared" si="5"/>
        <v>38895761.299999997</v>
      </c>
      <c r="AA75" s="201">
        <v>33654504.509999998</v>
      </c>
      <c r="AB75" s="201">
        <v>31883214.800000001</v>
      </c>
      <c r="AD75" s="196"/>
      <c r="AE75" s="197"/>
    </row>
    <row r="76" spans="1:31" s="195" customFormat="1" ht="13.5" customHeight="1" outlineLevel="2">
      <c r="A76" s="199">
        <v>566</v>
      </c>
      <c r="B76" s="199" t="s">
        <v>26</v>
      </c>
      <c r="C76" s="200" t="s">
        <v>153</v>
      </c>
      <c r="D76" s="200" t="s">
        <v>154</v>
      </c>
      <c r="E76" s="200" t="s">
        <v>173</v>
      </c>
      <c r="F76" s="200" t="s">
        <v>174</v>
      </c>
      <c r="G76" s="201">
        <v>1.1499999999999999</v>
      </c>
      <c r="H76" s="228">
        <v>53083</v>
      </c>
      <c r="I76" s="201">
        <v>1243.4480311964282</v>
      </c>
      <c r="J76" s="201">
        <v>247.23697379575381</v>
      </c>
      <c r="K76" s="202">
        <v>2978.4609</v>
      </c>
      <c r="L76" s="202">
        <v>78.653800000000004</v>
      </c>
      <c r="M76" s="202">
        <v>0</v>
      </c>
      <c r="N76" s="202">
        <v>0</v>
      </c>
      <c r="O76" s="201">
        <v>7038.3311407089304</v>
      </c>
      <c r="P76" s="201">
        <v>66005951.840000004</v>
      </c>
      <c r="Q76" s="201">
        <v>13124080.279999999</v>
      </c>
      <c r="R76" s="201">
        <v>24107902.969999999</v>
      </c>
      <c r="S76" s="201">
        <v>755076.48</v>
      </c>
      <c r="T76" s="201">
        <v>0</v>
      </c>
      <c r="U76" s="201">
        <v>0</v>
      </c>
      <c r="V76" s="201">
        <f t="shared" si="4"/>
        <v>103993011.57000001</v>
      </c>
      <c r="W76" s="201">
        <v>44923756</v>
      </c>
      <c r="X76" s="201">
        <v>59069255.57</v>
      </c>
      <c r="Y76" s="201">
        <v>0</v>
      </c>
      <c r="Z76" s="229">
        <f t="shared" si="5"/>
        <v>59069255.57</v>
      </c>
      <c r="AA76" s="201">
        <v>57250574.009999998</v>
      </c>
      <c r="AB76" s="201">
        <v>54237385.909999996</v>
      </c>
      <c r="AD76" s="196"/>
      <c r="AE76" s="197"/>
    </row>
    <row r="77" spans="1:31" s="195" customFormat="1" ht="13.5" customHeight="1" outlineLevel="2">
      <c r="A77" s="199">
        <v>567</v>
      </c>
      <c r="B77" s="199" t="s">
        <v>26</v>
      </c>
      <c r="C77" s="200" t="s">
        <v>153</v>
      </c>
      <c r="D77" s="200" t="s">
        <v>154</v>
      </c>
      <c r="E77" s="200" t="s">
        <v>175</v>
      </c>
      <c r="F77" s="200" t="s">
        <v>176</v>
      </c>
      <c r="G77" s="201">
        <v>1.1499999999999999</v>
      </c>
      <c r="H77" s="228">
        <v>53634</v>
      </c>
      <c r="I77" s="201">
        <v>1239.7050287131296</v>
      </c>
      <c r="J77" s="201">
        <v>246.49274601931609</v>
      </c>
      <c r="K77" s="202">
        <v>4128.3132999999998</v>
      </c>
      <c r="L77" s="202">
        <v>50.147500000000001</v>
      </c>
      <c r="M77" s="202">
        <v>0</v>
      </c>
      <c r="N77" s="202">
        <v>0</v>
      </c>
      <c r="O77" s="201">
        <v>7038.3311407089304</v>
      </c>
      <c r="P77" s="201">
        <v>66490339.509999998</v>
      </c>
      <c r="Q77" s="201">
        <v>13220391.939999999</v>
      </c>
      <c r="R77" s="201">
        <v>33414901.5</v>
      </c>
      <c r="S77" s="201">
        <v>481416</v>
      </c>
      <c r="T77" s="201">
        <v>0</v>
      </c>
      <c r="U77" s="201">
        <v>0</v>
      </c>
      <c r="V77" s="201">
        <f t="shared" si="4"/>
        <v>113607048.95</v>
      </c>
      <c r="W77" s="201">
        <v>56917627</v>
      </c>
      <c r="X77" s="201">
        <v>56689421.950000003</v>
      </c>
      <c r="Y77" s="201">
        <v>0</v>
      </c>
      <c r="Z77" s="229">
        <f t="shared" si="5"/>
        <v>56689421.950000003</v>
      </c>
      <c r="AA77" s="201">
        <v>53752078.210000001</v>
      </c>
      <c r="AB77" s="201">
        <v>50923021.460000001</v>
      </c>
      <c r="AD77" s="196"/>
      <c r="AE77" s="197"/>
    </row>
    <row r="78" spans="1:31" s="195" customFormat="1" ht="13.5" customHeight="1" outlineLevel="2">
      <c r="A78" s="199">
        <v>568</v>
      </c>
      <c r="B78" s="199" t="s">
        <v>26</v>
      </c>
      <c r="C78" s="200" t="s">
        <v>153</v>
      </c>
      <c r="D78" s="200" t="s">
        <v>154</v>
      </c>
      <c r="E78" s="200" t="s">
        <v>177</v>
      </c>
      <c r="F78" s="200" t="s">
        <v>178</v>
      </c>
      <c r="G78" s="201">
        <v>1.3</v>
      </c>
      <c r="H78" s="228">
        <v>26653</v>
      </c>
      <c r="I78" s="201">
        <v>1461.6328510861817</v>
      </c>
      <c r="J78" s="201">
        <v>290.61904776197804</v>
      </c>
      <c r="K78" s="202">
        <v>1494.0741</v>
      </c>
      <c r="L78" s="202">
        <v>23.474</v>
      </c>
      <c r="M78" s="202">
        <v>0</v>
      </c>
      <c r="N78" s="202">
        <v>0</v>
      </c>
      <c r="O78" s="201">
        <v>7038.3311407089304</v>
      </c>
      <c r="P78" s="201">
        <v>38956900.380000003</v>
      </c>
      <c r="Q78" s="201">
        <v>7745869.4800000004</v>
      </c>
      <c r="R78" s="201">
        <v>13670524.529999999</v>
      </c>
      <c r="S78" s="201">
        <v>225350.39999999999</v>
      </c>
      <c r="T78" s="201">
        <v>0</v>
      </c>
      <c r="U78" s="201">
        <v>0</v>
      </c>
      <c r="V78" s="201">
        <f t="shared" si="4"/>
        <v>60598644.789999999</v>
      </c>
      <c r="W78" s="201">
        <v>25662941</v>
      </c>
      <c r="X78" s="201">
        <v>34935703.789999999</v>
      </c>
      <c r="Y78" s="201">
        <v>0</v>
      </c>
      <c r="Z78" s="229">
        <f t="shared" si="5"/>
        <v>34935703.789999999</v>
      </c>
      <c r="AA78" s="201">
        <v>31443744.23</v>
      </c>
      <c r="AB78" s="201">
        <v>29788810.329999998</v>
      </c>
      <c r="AD78" s="196"/>
      <c r="AE78" s="197"/>
    </row>
    <row r="79" spans="1:31" s="195" customFormat="1" ht="13.5" customHeight="1" outlineLevel="2">
      <c r="A79" s="199">
        <v>569</v>
      </c>
      <c r="B79" s="199" t="s">
        <v>26</v>
      </c>
      <c r="C79" s="200" t="s">
        <v>153</v>
      </c>
      <c r="D79" s="200" t="s">
        <v>154</v>
      </c>
      <c r="E79" s="200" t="s">
        <v>179</v>
      </c>
      <c r="F79" s="200" t="s">
        <v>180</v>
      </c>
      <c r="G79" s="201">
        <v>1.35</v>
      </c>
      <c r="H79" s="228">
        <v>17988</v>
      </c>
      <c r="I79" s="201">
        <v>1553.1858583500111</v>
      </c>
      <c r="J79" s="201">
        <v>308.82269457416055</v>
      </c>
      <c r="K79" s="202">
        <v>1129.8635999999999</v>
      </c>
      <c r="L79" s="202">
        <v>58.882899999999999</v>
      </c>
      <c r="M79" s="202">
        <v>0</v>
      </c>
      <c r="N79" s="202">
        <v>0</v>
      </c>
      <c r="O79" s="201">
        <v>7038.3311407089304</v>
      </c>
      <c r="P79" s="201">
        <v>27938707.219999999</v>
      </c>
      <c r="Q79" s="201">
        <v>5555102.6299999999</v>
      </c>
      <c r="R79" s="201">
        <v>10735678.4</v>
      </c>
      <c r="S79" s="201">
        <v>565275.84</v>
      </c>
      <c r="T79" s="201">
        <v>0</v>
      </c>
      <c r="U79" s="201">
        <v>0</v>
      </c>
      <c r="V79" s="201">
        <f t="shared" si="4"/>
        <v>44794764.090000004</v>
      </c>
      <c r="W79" s="201">
        <v>24304903</v>
      </c>
      <c r="X79" s="201">
        <v>20489861.09</v>
      </c>
      <c r="Y79" s="201">
        <v>0</v>
      </c>
      <c r="Z79" s="229">
        <f t="shared" si="5"/>
        <v>20489861.09</v>
      </c>
      <c r="AA79" s="201">
        <v>19816702.440000001</v>
      </c>
      <c r="AB79" s="201">
        <v>18773718.100000001</v>
      </c>
      <c r="AD79" s="196"/>
      <c r="AE79" s="197"/>
    </row>
    <row r="80" spans="1:31" s="195" customFormat="1" ht="13.5" customHeight="1" outlineLevel="2">
      <c r="A80" s="199">
        <v>570</v>
      </c>
      <c r="B80" s="199" t="s">
        <v>26</v>
      </c>
      <c r="C80" s="200" t="s">
        <v>153</v>
      </c>
      <c r="D80" s="200" t="s">
        <v>154</v>
      </c>
      <c r="E80" s="200" t="s">
        <v>181</v>
      </c>
      <c r="F80" s="200" t="s">
        <v>182</v>
      </c>
      <c r="G80" s="201">
        <v>1.3</v>
      </c>
      <c r="H80" s="228">
        <v>24862</v>
      </c>
      <c r="I80" s="201">
        <v>1478.2651753680316</v>
      </c>
      <c r="J80" s="201">
        <v>293.92608237470836</v>
      </c>
      <c r="K80" s="202">
        <v>1659.4283</v>
      </c>
      <c r="L80" s="202">
        <v>32.650300000000001</v>
      </c>
      <c r="M80" s="202">
        <v>0</v>
      </c>
      <c r="N80" s="202">
        <v>0</v>
      </c>
      <c r="O80" s="201">
        <v>7038.3311407089304</v>
      </c>
      <c r="P80" s="201">
        <v>36752628.789999999</v>
      </c>
      <c r="Q80" s="201">
        <v>7307590.2599999998</v>
      </c>
      <c r="R80" s="201">
        <v>15183487.710000001</v>
      </c>
      <c r="S80" s="201">
        <v>313442.88</v>
      </c>
      <c r="T80" s="201">
        <v>0</v>
      </c>
      <c r="U80" s="201">
        <v>0</v>
      </c>
      <c r="V80" s="201">
        <f t="shared" si="4"/>
        <v>59557149.640000001</v>
      </c>
      <c r="W80" s="201">
        <v>34169973</v>
      </c>
      <c r="X80" s="201">
        <v>25387176.640000001</v>
      </c>
      <c r="Y80" s="201">
        <v>1502226.09</v>
      </c>
      <c r="Z80" s="229">
        <f t="shared" si="5"/>
        <v>26889402.73</v>
      </c>
      <c r="AA80" s="201">
        <v>26889402.73</v>
      </c>
      <c r="AB80" s="201">
        <v>25474171.010000002</v>
      </c>
      <c r="AD80" s="196"/>
      <c r="AE80" s="197"/>
    </row>
    <row r="81" spans="1:31" s="195" customFormat="1" ht="13.5" customHeight="1" outlineLevel="2">
      <c r="A81" s="199">
        <v>571</v>
      </c>
      <c r="B81" s="199" t="s">
        <v>26</v>
      </c>
      <c r="C81" s="200" t="s">
        <v>153</v>
      </c>
      <c r="D81" s="200" t="s">
        <v>154</v>
      </c>
      <c r="E81" s="200" t="s">
        <v>183</v>
      </c>
      <c r="F81" s="200" t="s">
        <v>184</v>
      </c>
      <c r="G81" s="201">
        <v>1.25</v>
      </c>
      <c r="H81" s="228">
        <v>33221</v>
      </c>
      <c r="I81" s="201">
        <v>1398.9386198488908</v>
      </c>
      <c r="J81" s="201">
        <v>278.15344270190542</v>
      </c>
      <c r="K81" s="202">
        <v>1213.3333</v>
      </c>
      <c r="L81" s="202">
        <v>24.559200000000001</v>
      </c>
      <c r="M81" s="202">
        <v>0</v>
      </c>
      <c r="N81" s="202">
        <v>0</v>
      </c>
      <c r="O81" s="201">
        <v>7038.3311407089304</v>
      </c>
      <c r="P81" s="201">
        <v>46474139.890000001</v>
      </c>
      <c r="Q81" s="201">
        <v>9240535.5199999996</v>
      </c>
      <c r="R81" s="201">
        <v>10674801.76</v>
      </c>
      <c r="S81" s="201">
        <v>235768.32000000001</v>
      </c>
      <c r="T81" s="201">
        <v>0</v>
      </c>
      <c r="U81" s="201">
        <v>0</v>
      </c>
      <c r="V81" s="201">
        <f t="shared" si="4"/>
        <v>66625245.489999995</v>
      </c>
      <c r="W81" s="201">
        <v>27626150</v>
      </c>
      <c r="X81" s="201">
        <v>38999095.490000002</v>
      </c>
      <c r="Y81" s="201">
        <v>0</v>
      </c>
      <c r="Z81" s="229">
        <f t="shared" si="5"/>
        <v>38999095.490000002</v>
      </c>
      <c r="AA81" s="201">
        <v>35030464.140000001</v>
      </c>
      <c r="AB81" s="201">
        <v>33186755.5</v>
      </c>
      <c r="AD81" s="196"/>
      <c r="AE81" s="197"/>
    </row>
    <row r="82" spans="1:31" s="195" customFormat="1" ht="13.5" customHeight="1" outlineLevel="2">
      <c r="A82" s="199">
        <v>572</v>
      </c>
      <c r="B82" s="199" t="s">
        <v>26</v>
      </c>
      <c r="C82" s="200" t="s">
        <v>153</v>
      </c>
      <c r="D82" s="200" t="s">
        <v>154</v>
      </c>
      <c r="E82" s="200" t="s">
        <v>185</v>
      </c>
      <c r="F82" s="200" t="s">
        <v>186</v>
      </c>
      <c r="G82" s="201">
        <v>1.3</v>
      </c>
      <c r="H82" s="228">
        <v>28324</v>
      </c>
      <c r="I82" s="201">
        <v>1448.0116537212257</v>
      </c>
      <c r="J82" s="201">
        <v>287.91072129642703</v>
      </c>
      <c r="K82" s="202">
        <v>1427.8164999999999</v>
      </c>
      <c r="L82" s="202">
        <v>17.187799999999999</v>
      </c>
      <c r="M82" s="202">
        <v>1.9117999999999999</v>
      </c>
      <c r="N82" s="202">
        <v>0</v>
      </c>
      <c r="O82" s="201">
        <v>7038.3311407089304</v>
      </c>
      <c r="P82" s="201">
        <v>41013482.079999998</v>
      </c>
      <c r="Q82" s="201">
        <v>8154783.2699999996</v>
      </c>
      <c r="R82" s="201">
        <v>13064279.289999999</v>
      </c>
      <c r="S82" s="201">
        <v>165002.88</v>
      </c>
      <c r="T82" s="201">
        <v>17206.2</v>
      </c>
      <c r="U82" s="201">
        <v>0</v>
      </c>
      <c r="V82" s="201">
        <f t="shared" si="4"/>
        <v>62414753.719999999</v>
      </c>
      <c r="W82" s="201">
        <v>25306632</v>
      </c>
      <c r="X82" s="201">
        <v>37108121.719999999</v>
      </c>
      <c r="Y82" s="201">
        <v>0</v>
      </c>
      <c r="Z82" s="229">
        <f t="shared" si="5"/>
        <v>37108121.719999999</v>
      </c>
      <c r="AA82" s="201">
        <v>34856349</v>
      </c>
      <c r="AB82" s="201">
        <v>33021804.309999999</v>
      </c>
      <c r="AD82" s="196"/>
      <c r="AE82" s="197"/>
    </row>
    <row r="83" spans="1:31" s="195" customFormat="1" ht="13.5" customHeight="1" outlineLevel="2">
      <c r="A83" s="199">
        <v>573</v>
      </c>
      <c r="B83" s="199" t="s">
        <v>26</v>
      </c>
      <c r="C83" s="200" t="s">
        <v>153</v>
      </c>
      <c r="D83" s="200" t="s">
        <v>154</v>
      </c>
      <c r="E83" s="200" t="s">
        <v>187</v>
      </c>
      <c r="F83" s="200" t="s">
        <v>188</v>
      </c>
      <c r="G83" s="201">
        <v>1.1000000000000001</v>
      </c>
      <c r="H83" s="228">
        <v>113920</v>
      </c>
      <c r="I83" s="201">
        <v>1018.8436652036518</v>
      </c>
      <c r="J83" s="201">
        <v>202.57849008075843</v>
      </c>
      <c r="K83" s="202">
        <v>12707.294400000001</v>
      </c>
      <c r="L83" s="202">
        <v>266.36020000000002</v>
      </c>
      <c r="M83" s="202">
        <v>251.60709999999997</v>
      </c>
      <c r="N83" s="202">
        <v>25.874000000000002</v>
      </c>
      <c r="O83" s="201">
        <v>7038.3311407089304</v>
      </c>
      <c r="P83" s="201">
        <v>116066670.34</v>
      </c>
      <c r="Q83" s="201">
        <v>23077741.59</v>
      </c>
      <c r="R83" s="201">
        <v>98381960.200000003</v>
      </c>
      <c r="S83" s="201">
        <v>2557057.92</v>
      </c>
      <c r="T83" s="201">
        <v>2264463.9</v>
      </c>
      <c r="U83" s="201">
        <v>310488</v>
      </c>
      <c r="V83" s="201">
        <f t="shared" si="4"/>
        <v>242658381.94999999</v>
      </c>
      <c r="W83" s="201">
        <v>118376434</v>
      </c>
      <c r="X83" s="201">
        <v>124281947.95</v>
      </c>
      <c r="Y83" s="201">
        <v>28799269.039999999</v>
      </c>
      <c r="Z83" s="229">
        <f t="shared" si="5"/>
        <v>153081216.99000001</v>
      </c>
      <c r="AA83" s="201">
        <v>153081216.99000001</v>
      </c>
      <c r="AB83" s="201">
        <v>145024310.84</v>
      </c>
      <c r="AD83" s="196"/>
      <c r="AE83" s="197"/>
    </row>
    <row r="84" spans="1:31" s="195" customFormat="1" ht="13.5" customHeight="1" outlineLevel="2">
      <c r="A84" s="199">
        <v>574</v>
      </c>
      <c r="B84" s="199" t="s">
        <v>26</v>
      </c>
      <c r="C84" s="200" t="s">
        <v>153</v>
      </c>
      <c r="D84" s="200" t="s">
        <v>154</v>
      </c>
      <c r="E84" s="200" t="s">
        <v>189</v>
      </c>
      <c r="F84" s="200" t="s">
        <v>190</v>
      </c>
      <c r="G84" s="201">
        <v>1.3</v>
      </c>
      <c r="H84" s="228">
        <v>28670</v>
      </c>
      <c r="I84" s="201">
        <v>1445.3896494593653</v>
      </c>
      <c r="J84" s="201">
        <v>287.38938332752008</v>
      </c>
      <c r="K84" s="202">
        <v>907.36059999999998</v>
      </c>
      <c r="L84" s="202">
        <v>28.359000000000002</v>
      </c>
      <c r="M84" s="202">
        <v>0</v>
      </c>
      <c r="N84" s="202">
        <v>0</v>
      </c>
      <c r="O84" s="201">
        <v>7038.3311407089304</v>
      </c>
      <c r="P84" s="201">
        <v>41439321.25</v>
      </c>
      <c r="Q84" s="201">
        <v>8239453.6200000001</v>
      </c>
      <c r="R84" s="201">
        <v>8302195.8200000003</v>
      </c>
      <c r="S84" s="201">
        <v>272246.40000000002</v>
      </c>
      <c r="T84" s="201">
        <v>0</v>
      </c>
      <c r="U84" s="201">
        <v>0</v>
      </c>
      <c r="V84" s="201">
        <f t="shared" si="4"/>
        <v>58253217.089999996</v>
      </c>
      <c r="W84" s="201">
        <v>23250524</v>
      </c>
      <c r="X84" s="201">
        <v>35002693.090000004</v>
      </c>
      <c r="Y84" s="201">
        <v>0</v>
      </c>
      <c r="Z84" s="229">
        <f t="shared" si="5"/>
        <v>35002693.090000004</v>
      </c>
      <c r="AA84" s="201">
        <v>30028740.82</v>
      </c>
      <c r="AB84" s="201">
        <v>28448280.77</v>
      </c>
      <c r="AD84" s="196"/>
      <c r="AE84" s="197"/>
    </row>
    <row r="85" spans="1:31" s="195" customFormat="1" ht="13.5" customHeight="1" outlineLevel="1">
      <c r="A85" s="221"/>
      <c r="B85" s="221"/>
      <c r="C85" s="230"/>
      <c r="D85" s="223" t="s">
        <v>268</v>
      </c>
      <c r="E85" s="222"/>
      <c r="F85" s="222"/>
      <c r="G85" s="246"/>
      <c r="H85" s="247">
        <f>SUBTOTAL(9,H67:H84)</f>
        <v>852200</v>
      </c>
      <c r="I85" s="246"/>
      <c r="J85" s="246"/>
      <c r="K85" s="248">
        <f t="shared" ref="K85:AB85" si="9">SUBTOTAL(9,K67:K84)</f>
        <v>116713.70759999998</v>
      </c>
      <c r="L85" s="248">
        <f t="shared" si="9"/>
        <v>2751.2419000000004</v>
      </c>
      <c r="M85" s="248">
        <f t="shared" si="9"/>
        <v>3322.3587000000002</v>
      </c>
      <c r="N85" s="248">
        <f t="shared" si="9"/>
        <v>482.8082</v>
      </c>
      <c r="O85" s="246">
        <f t="shared" si="9"/>
        <v>126689.96053276077</v>
      </c>
      <c r="P85" s="246">
        <f t="shared" si="9"/>
        <v>1039308910.97</v>
      </c>
      <c r="Q85" s="246">
        <f t="shared" si="9"/>
        <v>206647631.09</v>
      </c>
      <c r="R85" s="246">
        <f t="shared" si="9"/>
        <v>908096974.5400002</v>
      </c>
      <c r="S85" s="246">
        <f t="shared" si="9"/>
        <v>26411922.239999987</v>
      </c>
      <c r="T85" s="246">
        <f t="shared" si="9"/>
        <v>29901228.299999997</v>
      </c>
      <c r="U85" s="246">
        <f t="shared" si="9"/>
        <v>5793698.4000000004</v>
      </c>
      <c r="V85" s="246">
        <f t="shared" si="9"/>
        <v>2216160365.54</v>
      </c>
      <c r="W85" s="246">
        <f t="shared" si="9"/>
        <v>1058294900</v>
      </c>
      <c r="X85" s="246">
        <f t="shared" si="9"/>
        <v>1157865465.54</v>
      </c>
      <c r="Y85" s="246">
        <f t="shared" si="9"/>
        <v>33626843.100000001</v>
      </c>
      <c r="Z85" s="249">
        <f t="shared" si="9"/>
        <v>1191492308.6400001</v>
      </c>
      <c r="AA85" s="246">
        <f t="shared" si="9"/>
        <v>1102466001.0800002</v>
      </c>
      <c r="AB85" s="246">
        <f t="shared" si="9"/>
        <v>1044441474.7099999</v>
      </c>
      <c r="AD85" s="196"/>
      <c r="AE85" s="197"/>
    </row>
    <row r="86" spans="1:31" s="195" customFormat="1" ht="13.5" customHeight="1" outlineLevel="2">
      <c r="A86" s="211">
        <v>575</v>
      </c>
      <c r="B86" s="211" t="s">
        <v>26</v>
      </c>
      <c r="C86" s="212" t="s">
        <v>191</v>
      </c>
      <c r="D86" s="212" t="s">
        <v>192</v>
      </c>
      <c r="E86" s="212" t="s">
        <v>193</v>
      </c>
      <c r="F86" s="212" t="s">
        <v>194</v>
      </c>
      <c r="G86" s="231">
        <v>1.1000000000000001</v>
      </c>
      <c r="H86" s="232">
        <v>108275</v>
      </c>
      <c r="I86" s="231">
        <v>1031.0291918725468</v>
      </c>
      <c r="J86" s="231">
        <v>204.56612957746478</v>
      </c>
      <c r="K86" s="233">
        <v>25516.167799999999</v>
      </c>
      <c r="L86" s="233">
        <v>671.09690000000001</v>
      </c>
      <c r="M86" s="233">
        <v>584.00580000000002</v>
      </c>
      <c r="N86" s="233">
        <v>130.05250000000001</v>
      </c>
      <c r="O86" s="231">
        <v>7038.3311407089304</v>
      </c>
      <c r="P86" s="231">
        <v>111634685.75</v>
      </c>
      <c r="Q86" s="231">
        <v>22149397.68</v>
      </c>
      <c r="R86" s="231">
        <v>197550362.40000001</v>
      </c>
      <c r="S86" s="231">
        <v>6442530.2400000002</v>
      </c>
      <c r="T86" s="231">
        <v>5256052.2</v>
      </c>
      <c r="U86" s="231">
        <v>1560630</v>
      </c>
      <c r="V86" s="231">
        <f t="shared" si="4"/>
        <v>344593658.27000004</v>
      </c>
      <c r="W86" s="231">
        <v>223427111</v>
      </c>
      <c r="X86" s="231">
        <v>121166547.27</v>
      </c>
      <c r="Y86" s="201">
        <v>1142445.5900000001</v>
      </c>
      <c r="Z86" s="234">
        <f t="shared" si="5"/>
        <v>122308992.86</v>
      </c>
      <c r="AA86" s="231">
        <v>122308992.86</v>
      </c>
      <c r="AB86" s="231">
        <v>115871677.44</v>
      </c>
      <c r="AD86" s="196"/>
      <c r="AE86" s="197"/>
    </row>
    <row r="87" spans="1:31" s="195" customFormat="1" ht="13.5" customHeight="1" outlineLevel="2">
      <c r="A87" s="199">
        <v>576</v>
      </c>
      <c r="B87" s="199" t="s">
        <v>26</v>
      </c>
      <c r="C87" s="200" t="s">
        <v>191</v>
      </c>
      <c r="D87" s="200" t="s">
        <v>192</v>
      </c>
      <c r="E87" s="200" t="s">
        <v>195</v>
      </c>
      <c r="F87" s="200" t="s">
        <v>196</v>
      </c>
      <c r="G87" s="201">
        <v>1.2</v>
      </c>
      <c r="H87" s="228">
        <v>40006</v>
      </c>
      <c r="I87" s="201">
        <v>1340.9935612158176</v>
      </c>
      <c r="J87" s="201">
        <v>266.06604784282359</v>
      </c>
      <c r="K87" s="202">
        <v>924.58839999999998</v>
      </c>
      <c r="L87" s="202">
        <v>14.5588</v>
      </c>
      <c r="M87" s="202">
        <v>0</v>
      </c>
      <c r="N87" s="202">
        <v>0</v>
      </c>
      <c r="O87" s="201">
        <v>7038.3311407089304</v>
      </c>
      <c r="P87" s="201">
        <v>53647788.409999996</v>
      </c>
      <c r="Q87" s="201">
        <v>10644238.310000001</v>
      </c>
      <c r="R87" s="201">
        <v>7809071.3300000001</v>
      </c>
      <c r="S87" s="201">
        <v>139764.48000000001</v>
      </c>
      <c r="T87" s="201">
        <v>0</v>
      </c>
      <c r="U87" s="201">
        <v>0</v>
      </c>
      <c r="V87" s="201">
        <f t="shared" si="4"/>
        <v>72240862.530000001</v>
      </c>
      <c r="W87" s="201">
        <v>30782885</v>
      </c>
      <c r="X87" s="201">
        <v>41457977.530000001</v>
      </c>
      <c r="Y87" s="201">
        <v>0</v>
      </c>
      <c r="Z87" s="229">
        <f t="shared" si="5"/>
        <v>41457977.530000001</v>
      </c>
      <c r="AA87" s="201">
        <v>36733685.520000003</v>
      </c>
      <c r="AB87" s="201">
        <v>34800333.649999999</v>
      </c>
      <c r="AD87" s="196"/>
      <c r="AE87" s="197"/>
    </row>
    <row r="88" spans="1:31" s="195" customFormat="1" ht="13.5" customHeight="1" outlineLevel="2">
      <c r="A88" s="199">
        <v>577</v>
      </c>
      <c r="B88" s="199" t="s">
        <v>26</v>
      </c>
      <c r="C88" s="200" t="s">
        <v>191</v>
      </c>
      <c r="D88" s="200" t="s">
        <v>192</v>
      </c>
      <c r="E88" s="200" t="s">
        <v>197</v>
      </c>
      <c r="F88" s="200" t="s">
        <v>198</v>
      </c>
      <c r="G88" s="201">
        <v>1.2</v>
      </c>
      <c r="H88" s="228">
        <v>44954</v>
      </c>
      <c r="I88" s="201">
        <v>1299.8634255016239</v>
      </c>
      <c r="J88" s="201">
        <v>257.90543288695113</v>
      </c>
      <c r="K88" s="202">
        <v>1245.3439000000001</v>
      </c>
      <c r="L88" s="202">
        <v>28.5381</v>
      </c>
      <c r="M88" s="202">
        <v>0</v>
      </c>
      <c r="N88" s="202">
        <v>0</v>
      </c>
      <c r="O88" s="201">
        <v>7038.3311407089304</v>
      </c>
      <c r="P88" s="201">
        <v>58434060.43</v>
      </c>
      <c r="Q88" s="201">
        <v>11593880.83</v>
      </c>
      <c r="R88" s="201">
        <v>10518171.439999999</v>
      </c>
      <c r="S88" s="201">
        <v>273965.76</v>
      </c>
      <c r="T88" s="201">
        <v>0</v>
      </c>
      <c r="U88" s="201">
        <v>0</v>
      </c>
      <c r="V88" s="201">
        <f t="shared" si="4"/>
        <v>80820078.460000008</v>
      </c>
      <c r="W88" s="201">
        <v>40255932</v>
      </c>
      <c r="X88" s="201">
        <v>40564146.460000001</v>
      </c>
      <c r="Y88" s="201">
        <v>0</v>
      </c>
      <c r="Z88" s="229">
        <f t="shared" si="5"/>
        <v>40564146.460000001</v>
      </c>
      <c r="AA88" s="201">
        <v>33113364.989999998</v>
      </c>
      <c r="AB88" s="201">
        <v>31370556.300000001</v>
      </c>
      <c r="AD88" s="196"/>
      <c r="AE88" s="197"/>
    </row>
    <row r="89" spans="1:31" s="195" customFormat="1" ht="13.5" customHeight="1" outlineLevel="2">
      <c r="A89" s="199">
        <v>578</v>
      </c>
      <c r="B89" s="199" t="s">
        <v>26</v>
      </c>
      <c r="C89" s="200" t="s">
        <v>191</v>
      </c>
      <c r="D89" s="200" t="s">
        <v>192</v>
      </c>
      <c r="E89" s="200" t="s">
        <v>199</v>
      </c>
      <c r="F89" s="200" t="s">
        <v>200</v>
      </c>
      <c r="G89" s="201">
        <v>1.3</v>
      </c>
      <c r="H89" s="228">
        <v>27242</v>
      </c>
      <c r="I89" s="201">
        <v>1457.0888077233683</v>
      </c>
      <c r="J89" s="201">
        <v>289.10046398942808</v>
      </c>
      <c r="K89" s="202">
        <v>1291.7336</v>
      </c>
      <c r="L89" s="202">
        <v>36.531300000000002</v>
      </c>
      <c r="M89" s="202">
        <v>0</v>
      </c>
      <c r="N89" s="202">
        <v>0</v>
      </c>
      <c r="O89" s="201">
        <v>7038.3311407089304</v>
      </c>
      <c r="P89" s="201">
        <v>39694013.299999997</v>
      </c>
      <c r="Q89" s="201">
        <v>7875674.8399999999</v>
      </c>
      <c r="R89" s="201">
        <v>11819143.609999999</v>
      </c>
      <c r="S89" s="201">
        <v>350700.48</v>
      </c>
      <c r="T89" s="201">
        <v>0</v>
      </c>
      <c r="U89" s="201">
        <v>0</v>
      </c>
      <c r="V89" s="201">
        <f t="shared" ref="V89:V97" si="10">SUM(P89:U89)</f>
        <v>59739532.229999997</v>
      </c>
      <c r="W89" s="201">
        <v>30947160</v>
      </c>
      <c r="X89" s="201">
        <v>28792372.23</v>
      </c>
      <c r="Y89" s="201">
        <v>0</v>
      </c>
      <c r="Z89" s="229">
        <f t="shared" ref="Z89:Z97" si="11">X89+Y89</f>
        <v>28792372.23</v>
      </c>
      <c r="AA89" s="201">
        <v>23266270.52</v>
      </c>
      <c r="AB89" s="201">
        <v>22041729.960000001</v>
      </c>
      <c r="AD89" s="196"/>
      <c r="AE89" s="197"/>
    </row>
    <row r="90" spans="1:31" s="195" customFormat="1" ht="13.5" customHeight="1" outlineLevel="2">
      <c r="A90" s="199">
        <v>579</v>
      </c>
      <c r="B90" s="199" t="s">
        <v>26</v>
      </c>
      <c r="C90" s="200" t="s">
        <v>191</v>
      </c>
      <c r="D90" s="200" t="s">
        <v>192</v>
      </c>
      <c r="E90" s="200" t="s">
        <v>201</v>
      </c>
      <c r="F90" s="200" t="s">
        <v>202</v>
      </c>
      <c r="G90" s="201">
        <v>1.35</v>
      </c>
      <c r="H90" s="228">
        <v>17875</v>
      </c>
      <c r="I90" s="201">
        <v>1554.5905868531468</v>
      </c>
      <c r="J90" s="201">
        <v>308.44575664335667</v>
      </c>
      <c r="K90" s="202">
        <v>848.11040000000003</v>
      </c>
      <c r="L90" s="202">
        <v>8.4916999999999998</v>
      </c>
      <c r="M90" s="202">
        <v>0</v>
      </c>
      <c r="N90" s="202">
        <v>0</v>
      </c>
      <c r="O90" s="201">
        <v>7038.3311407089304</v>
      </c>
      <c r="P90" s="201">
        <v>27788306.739999998</v>
      </c>
      <c r="Q90" s="201">
        <v>5513467.9000000004</v>
      </c>
      <c r="R90" s="201">
        <v>8058530.2000000002</v>
      </c>
      <c r="S90" s="201">
        <v>81520.320000000007</v>
      </c>
      <c r="T90" s="201">
        <v>0</v>
      </c>
      <c r="U90" s="201">
        <v>0</v>
      </c>
      <c r="V90" s="201">
        <f t="shared" si="10"/>
        <v>41441825.160000004</v>
      </c>
      <c r="W90" s="201">
        <v>18347981</v>
      </c>
      <c r="X90" s="201">
        <v>23093844.16</v>
      </c>
      <c r="Y90" s="201">
        <v>0</v>
      </c>
      <c r="Z90" s="229">
        <f t="shared" si="11"/>
        <v>23093844.16</v>
      </c>
      <c r="AA90" s="201">
        <v>20779592.16</v>
      </c>
      <c r="AB90" s="201">
        <v>19685929.420000002</v>
      </c>
      <c r="AD90" s="196"/>
      <c r="AE90" s="197"/>
    </row>
    <row r="91" spans="1:31" s="195" customFormat="1" ht="13.5" customHeight="1" outlineLevel="2">
      <c r="A91" s="199">
        <v>580</v>
      </c>
      <c r="B91" s="199" t="s">
        <v>26</v>
      </c>
      <c r="C91" s="200" t="s">
        <v>191</v>
      </c>
      <c r="D91" s="200" t="s">
        <v>192</v>
      </c>
      <c r="E91" s="200" t="s">
        <v>203</v>
      </c>
      <c r="F91" s="200" t="s">
        <v>204</v>
      </c>
      <c r="G91" s="201">
        <v>1.25</v>
      </c>
      <c r="H91" s="228">
        <v>32984</v>
      </c>
      <c r="I91" s="201">
        <v>1401.8413597501817</v>
      </c>
      <c r="J91" s="201">
        <v>278.13883761823917</v>
      </c>
      <c r="K91" s="202">
        <v>1584.6184000000001</v>
      </c>
      <c r="L91" s="202">
        <v>27.335699999999999</v>
      </c>
      <c r="M91" s="202">
        <v>0</v>
      </c>
      <c r="N91" s="202">
        <v>0</v>
      </c>
      <c r="O91" s="201">
        <v>7038.3311407089304</v>
      </c>
      <c r="P91" s="201">
        <v>46238335.409999996</v>
      </c>
      <c r="Q91" s="201">
        <v>9174131.4199999999</v>
      </c>
      <c r="R91" s="201">
        <v>13941336.289999999</v>
      </c>
      <c r="S91" s="201">
        <v>262422.71999999997</v>
      </c>
      <c r="T91" s="201">
        <v>0</v>
      </c>
      <c r="U91" s="201">
        <v>0</v>
      </c>
      <c r="V91" s="201">
        <f t="shared" si="10"/>
        <v>69616225.840000004</v>
      </c>
      <c r="W91" s="201">
        <v>42685695</v>
      </c>
      <c r="X91" s="201">
        <v>26930530.84</v>
      </c>
      <c r="Y91" s="201">
        <v>0</v>
      </c>
      <c r="Z91" s="229">
        <f t="shared" si="11"/>
        <v>26930530.84</v>
      </c>
      <c r="AA91" s="201">
        <v>22167398.710000001</v>
      </c>
      <c r="AB91" s="201">
        <v>21000693.510000002</v>
      </c>
      <c r="AD91" s="196"/>
      <c r="AE91" s="197"/>
    </row>
    <row r="92" spans="1:31" s="195" customFormat="1" ht="13.5" customHeight="1" outlineLevel="2">
      <c r="A92" s="199">
        <v>581</v>
      </c>
      <c r="B92" s="199" t="s">
        <v>26</v>
      </c>
      <c r="C92" s="200" t="s">
        <v>191</v>
      </c>
      <c r="D92" s="200" t="s">
        <v>192</v>
      </c>
      <c r="E92" s="200" t="s">
        <v>205</v>
      </c>
      <c r="F92" s="200" t="s">
        <v>206</v>
      </c>
      <c r="G92" s="201">
        <v>1.1499999999999999</v>
      </c>
      <c r="H92" s="228">
        <v>55230</v>
      </c>
      <c r="I92" s="201">
        <v>1229.6626818757923</v>
      </c>
      <c r="J92" s="201">
        <v>243.97692848089807</v>
      </c>
      <c r="K92" s="202">
        <v>1882.6287</v>
      </c>
      <c r="L92" s="202">
        <v>43.42</v>
      </c>
      <c r="M92" s="202">
        <v>0</v>
      </c>
      <c r="N92" s="202">
        <v>0</v>
      </c>
      <c r="O92" s="201">
        <v>7038.3311407089304</v>
      </c>
      <c r="P92" s="201">
        <v>67914269.920000002</v>
      </c>
      <c r="Q92" s="201">
        <v>13474845.76</v>
      </c>
      <c r="R92" s="201">
        <v>15238148.800000001</v>
      </c>
      <c r="S92" s="201">
        <v>416832</v>
      </c>
      <c r="T92" s="201">
        <v>0</v>
      </c>
      <c r="U92" s="201">
        <v>0</v>
      </c>
      <c r="V92" s="201">
        <f t="shared" si="10"/>
        <v>97044096.480000004</v>
      </c>
      <c r="W92" s="201">
        <v>49935934</v>
      </c>
      <c r="X92" s="201">
        <v>47108162.479999997</v>
      </c>
      <c r="Y92" s="201">
        <v>0</v>
      </c>
      <c r="Z92" s="229">
        <f t="shared" si="11"/>
        <v>47108162.479999997</v>
      </c>
      <c r="AA92" s="201">
        <v>43055752.189999998</v>
      </c>
      <c r="AB92" s="201">
        <v>40789659.969999999</v>
      </c>
      <c r="AD92" s="196"/>
      <c r="AE92" s="197"/>
    </row>
    <row r="93" spans="1:31" s="195" customFormat="1" ht="13.5" customHeight="1" outlineLevel="2">
      <c r="A93" s="199">
        <v>582</v>
      </c>
      <c r="B93" s="199" t="s">
        <v>26</v>
      </c>
      <c r="C93" s="200" t="s">
        <v>191</v>
      </c>
      <c r="D93" s="200" t="s">
        <v>192</v>
      </c>
      <c r="E93" s="200" t="s">
        <v>207</v>
      </c>
      <c r="F93" s="200" t="s">
        <v>208</v>
      </c>
      <c r="G93" s="201">
        <v>1.1499999999999999</v>
      </c>
      <c r="H93" s="228">
        <v>53839</v>
      </c>
      <c r="I93" s="201">
        <v>1238.7127693679304</v>
      </c>
      <c r="J93" s="201">
        <v>245.772553167778</v>
      </c>
      <c r="K93" s="202">
        <v>3523.2865999999999</v>
      </c>
      <c r="L93" s="202">
        <v>50.103400000000001</v>
      </c>
      <c r="M93" s="202">
        <v>18.575600000000001</v>
      </c>
      <c r="N93" s="202">
        <v>0</v>
      </c>
      <c r="O93" s="201">
        <v>7038.3311407089304</v>
      </c>
      <c r="P93" s="201">
        <v>66691056.789999999</v>
      </c>
      <c r="Q93" s="201">
        <v>13232148.49</v>
      </c>
      <c r="R93" s="201">
        <v>28517766.530000001</v>
      </c>
      <c r="S93" s="201">
        <v>480992.64</v>
      </c>
      <c r="T93" s="201">
        <v>167180.4</v>
      </c>
      <c r="U93" s="201">
        <v>0</v>
      </c>
      <c r="V93" s="201">
        <f t="shared" si="10"/>
        <v>109089144.85000001</v>
      </c>
      <c r="W93" s="201">
        <v>48470962</v>
      </c>
      <c r="X93" s="201">
        <v>60618182.850000001</v>
      </c>
      <c r="Y93" s="201">
        <v>0</v>
      </c>
      <c r="Z93" s="229">
        <f t="shared" si="11"/>
        <v>60618182.850000001</v>
      </c>
      <c r="AA93" s="201">
        <v>55944945.049999997</v>
      </c>
      <c r="AB93" s="201">
        <v>53000474.259999998</v>
      </c>
      <c r="AD93" s="196"/>
      <c r="AE93" s="197"/>
    </row>
    <row r="94" spans="1:31" s="195" customFormat="1" ht="13.5" customHeight="1" outlineLevel="2">
      <c r="A94" s="199">
        <v>583</v>
      </c>
      <c r="B94" s="199" t="s">
        <v>26</v>
      </c>
      <c r="C94" s="200" t="s">
        <v>191</v>
      </c>
      <c r="D94" s="200" t="s">
        <v>192</v>
      </c>
      <c r="E94" s="200" t="s">
        <v>209</v>
      </c>
      <c r="F94" s="200" t="s">
        <v>210</v>
      </c>
      <c r="G94" s="201">
        <v>1.25</v>
      </c>
      <c r="H94" s="228">
        <v>38222</v>
      </c>
      <c r="I94" s="201">
        <v>1354.3442569724241</v>
      </c>
      <c r="J94" s="201">
        <v>268.71495499973838</v>
      </c>
      <c r="K94" s="202">
        <v>1252.1901</v>
      </c>
      <c r="L94" s="202">
        <v>23.865400000000001</v>
      </c>
      <c r="M94" s="202">
        <v>0</v>
      </c>
      <c r="N94" s="202">
        <v>0</v>
      </c>
      <c r="O94" s="201">
        <v>7038.3311407089304</v>
      </c>
      <c r="P94" s="201">
        <v>51765746.189999998</v>
      </c>
      <c r="Q94" s="201">
        <v>10270823.01</v>
      </c>
      <c r="R94" s="201">
        <v>11016660.539999999</v>
      </c>
      <c r="S94" s="201">
        <v>229107.84</v>
      </c>
      <c r="T94" s="201">
        <v>0</v>
      </c>
      <c r="U94" s="201">
        <v>0</v>
      </c>
      <c r="V94" s="201">
        <f t="shared" si="10"/>
        <v>73282337.579999998</v>
      </c>
      <c r="W94" s="201">
        <v>30965894</v>
      </c>
      <c r="X94" s="201">
        <v>42316443.579999998</v>
      </c>
      <c r="Y94" s="201">
        <v>0</v>
      </c>
      <c r="Z94" s="229">
        <f t="shared" si="11"/>
        <v>42316443.579999998</v>
      </c>
      <c r="AA94" s="201">
        <v>32970851.010000002</v>
      </c>
      <c r="AB94" s="201">
        <v>31235543.059999999</v>
      </c>
      <c r="AD94" s="196"/>
      <c r="AE94" s="197"/>
    </row>
    <row r="95" spans="1:31" s="195" customFormat="1" ht="13.5" customHeight="1" outlineLevel="2">
      <c r="A95" s="199">
        <v>584</v>
      </c>
      <c r="B95" s="199" t="s">
        <v>26</v>
      </c>
      <c r="C95" s="200" t="s">
        <v>191</v>
      </c>
      <c r="D95" s="200" t="s">
        <v>192</v>
      </c>
      <c r="E95" s="200" t="s">
        <v>211</v>
      </c>
      <c r="F95" s="200" t="s">
        <v>212</v>
      </c>
      <c r="G95" s="201">
        <v>1.2</v>
      </c>
      <c r="H95" s="228">
        <v>43811</v>
      </c>
      <c r="I95" s="201">
        <v>1308.5394076830021</v>
      </c>
      <c r="J95" s="201">
        <v>259.6268311611239</v>
      </c>
      <c r="K95" s="202">
        <v>1714.7805000000001</v>
      </c>
      <c r="L95" s="202">
        <v>23.7532</v>
      </c>
      <c r="M95" s="202">
        <v>0</v>
      </c>
      <c r="N95" s="202">
        <v>0</v>
      </c>
      <c r="O95" s="201">
        <v>7038.3311407089304</v>
      </c>
      <c r="P95" s="201">
        <v>57328419.990000002</v>
      </c>
      <c r="Q95" s="201">
        <v>11374511.1</v>
      </c>
      <c r="R95" s="201">
        <v>14483031.59</v>
      </c>
      <c r="S95" s="201">
        <v>228030.72</v>
      </c>
      <c r="T95" s="201">
        <v>0</v>
      </c>
      <c r="U95" s="201">
        <v>0</v>
      </c>
      <c r="V95" s="201">
        <f t="shared" si="10"/>
        <v>83413993.400000006</v>
      </c>
      <c r="W95" s="201">
        <v>33158653</v>
      </c>
      <c r="X95" s="201">
        <v>50255340.399999999</v>
      </c>
      <c r="Y95" s="201">
        <v>0</v>
      </c>
      <c r="Z95" s="229">
        <f t="shared" si="11"/>
        <v>50255340.399999999</v>
      </c>
      <c r="AA95" s="201">
        <v>41197232.990000002</v>
      </c>
      <c r="AB95" s="201">
        <v>39028957.57</v>
      </c>
      <c r="AD95" s="196"/>
      <c r="AE95" s="197"/>
    </row>
    <row r="96" spans="1:31" s="195" customFormat="1" ht="13.5" customHeight="1" outlineLevel="2">
      <c r="A96" s="199">
        <v>585</v>
      </c>
      <c r="B96" s="199" t="s">
        <v>26</v>
      </c>
      <c r="C96" s="200" t="s">
        <v>191</v>
      </c>
      <c r="D96" s="200" t="s">
        <v>192</v>
      </c>
      <c r="E96" s="200" t="s">
        <v>213</v>
      </c>
      <c r="F96" s="200" t="s">
        <v>214</v>
      </c>
      <c r="G96" s="201">
        <v>1.1000000000000001</v>
      </c>
      <c r="H96" s="228">
        <v>61265</v>
      </c>
      <c r="I96" s="201">
        <v>1194.2493805598629</v>
      </c>
      <c r="J96" s="201">
        <v>236.95058810087323</v>
      </c>
      <c r="K96" s="202">
        <v>5172.192</v>
      </c>
      <c r="L96" s="202">
        <v>122.5997</v>
      </c>
      <c r="M96" s="202">
        <v>40.943100000000008</v>
      </c>
      <c r="N96" s="202">
        <v>8.3947000000000003</v>
      </c>
      <c r="O96" s="201">
        <v>7038.3311407089304</v>
      </c>
      <c r="P96" s="201">
        <v>73165688.299999997</v>
      </c>
      <c r="Q96" s="201">
        <v>14516777.779999999</v>
      </c>
      <c r="R96" s="201">
        <v>40043960.020000003</v>
      </c>
      <c r="S96" s="201">
        <v>1176957.1200000001</v>
      </c>
      <c r="T96" s="201">
        <v>368487.9</v>
      </c>
      <c r="U96" s="201">
        <v>100736.4</v>
      </c>
      <c r="V96" s="201">
        <f t="shared" si="10"/>
        <v>129372607.52000001</v>
      </c>
      <c r="W96" s="201">
        <v>75772682</v>
      </c>
      <c r="X96" s="201">
        <v>53599925.520000003</v>
      </c>
      <c r="Y96" s="201">
        <v>0</v>
      </c>
      <c r="Z96" s="229">
        <f t="shared" si="11"/>
        <v>53599925.520000003</v>
      </c>
      <c r="AA96" s="201">
        <v>49006859.479999997</v>
      </c>
      <c r="AB96" s="201">
        <v>46427551.079999998</v>
      </c>
      <c r="AD96" s="196"/>
      <c r="AE96" s="197"/>
    </row>
    <row r="97" spans="1:31" s="195" customFormat="1" ht="13.5" customHeight="1" outlineLevel="2">
      <c r="A97" s="199">
        <v>586</v>
      </c>
      <c r="B97" s="199" t="s">
        <v>26</v>
      </c>
      <c r="C97" s="200" t="s">
        <v>191</v>
      </c>
      <c r="D97" s="200" t="s">
        <v>192</v>
      </c>
      <c r="E97" s="200" t="s">
        <v>215</v>
      </c>
      <c r="F97" s="200" t="s">
        <v>216</v>
      </c>
      <c r="G97" s="201">
        <v>1.35</v>
      </c>
      <c r="H97" s="228">
        <v>11685</v>
      </c>
      <c r="I97" s="201">
        <v>1632.7735524176296</v>
      </c>
      <c r="J97" s="201">
        <v>323.95801026957639</v>
      </c>
      <c r="K97" s="202">
        <v>624.44299999999998</v>
      </c>
      <c r="L97" s="202">
        <v>7.3780999999999999</v>
      </c>
      <c r="M97" s="202">
        <v>0</v>
      </c>
      <c r="N97" s="202">
        <v>0</v>
      </c>
      <c r="O97" s="201">
        <v>7038.3311407089304</v>
      </c>
      <c r="P97" s="201">
        <v>19078958.960000001</v>
      </c>
      <c r="Q97" s="201">
        <v>3785449.35</v>
      </c>
      <c r="R97" s="201">
        <v>5933299.7800000003</v>
      </c>
      <c r="S97" s="201">
        <v>70829.759999999995</v>
      </c>
      <c r="T97" s="201">
        <v>0</v>
      </c>
      <c r="U97" s="201">
        <v>0</v>
      </c>
      <c r="V97" s="201">
        <f t="shared" si="10"/>
        <v>28868537.850000005</v>
      </c>
      <c r="W97" s="201">
        <v>15434311</v>
      </c>
      <c r="X97" s="201">
        <v>13434226.85</v>
      </c>
      <c r="Y97" s="201">
        <v>0</v>
      </c>
      <c r="Z97" s="229">
        <f t="shared" si="11"/>
        <v>13434226.85</v>
      </c>
      <c r="AA97" s="201">
        <v>13164675.460000001</v>
      </c>
      <c r="AB97" s="201">
        <v>12471797.810000001</v>
      </c>
      <c r="AD97" s="196"/>
      <c r="AE97" s="197"/>
    </row>
    <row r="98" spans="1:31" s="195" customFormat="1" ht="13.5" customHeight="1" outlineLevel="1">
      <c r="A98" s="221"/>
      <c r="B98" s="221"/>
      <c r="C98" s="230"/>
      <c r="D98" s="223" t="s">
        <v>269</v>
      </c>
      <c r="E98" s="222"/>
      <c r="F98" s="222"/>
      <c r="G98" s="246"/>
      <c r="H98" s="247">
        <f>SUBTOTAL(9,H86:H97)</f>
        <v>535388</v>
      </c>
      <c r="I98" s="246"/>
      <c r="J98" s="246"/>
      <c r="K98" s="248">
        <f t="shared" ref="K98:AB98" si="12">SUBTOTAL(9,K86:K97)</f>
        <v>45580.083400000003</v>
      </c>
      <c r="L98" s="248">
        <f t="shared" si="12"/>
        <v>1057.6723</v>
      </c>
      <c r="M98" s="248">
        <f t="shared" si="12"/>
        <v>643.52449999999999</v>
      </c>
      <c r="N98" s="248">
        <f t="shared" si="12"/>
        <v>138.44720000000001</v>
      </c>
      <c r="O98" s="246">
        <f t="shared" si="12"/>
        <v>84459.973688507162</v>
      </c>
      <c r="P98" s="246">
        <f t="shared" si="12"/>
        <v>673381330.18999994</v>
      </c>
      <c r="Q98" s="246">
        <f t="shared" si="12"/>
        <v>133605346.46999998</v>
      </c>
      <c r="R98" s="246">
        <f t="shared" si="12"/>
        <v>364929482.52999997</v>
      </c>
      <c r="S98" s="246">
        <f t="shared" si="12"/>
        <v>10153654.08</v>
      </c>
      <c r="T98" s="246">
        <f t="shared" si="12"/>
        <v>5791720.5000000009</v>
      </c>
      <c r="U98" s="246">
        <f t="shared" si="12"/>
        <v>1661366.4</v>
      </c>
      <c r="V98" s="246">
        <f t="shared" si="12"/>
        <v>1189522900.1700001</v>
      </c>
      <c r="W98" s="246">
        <f t="shared" si="12"/>
        <v>640185200</v>
      </c>
      <c r="X98" s="246">
        <f t="shared" si="12"/>
        <v>549337700.16999996</v>
      </c>
      <c r="Y98" s="246">
        <f t="shared" si="12"/>
        <v>1142445.5900000001</v>
      </c>
      <c r="Z98" s="249">
        <f t="shared" si="12"/>
        <v>550480145.75999999</v>
      </c>
      <c r="AA98" s="246">
        <f t="shared" si="12"/>
        <v>493709620.94000006</v>
      </c>
      <c r="AB98" s="246">
        <f t="shared" si="12"/>
        <v>467724904.02999997</v>
      </c>
      <c r="AD98" s="196"/>
      <c r="AE98" s="197"/>
    </row>
    <row r="99" spans="1:31" s="195" customFormat="1" ht="13.5" customHeight="1">
      <c r="A99" s="216"/>
      <c r="B99" s="216"/>
      <c r="C99" s="230"/>
      <c r="D99" s="218" t="s">
        <v>270</v>
      </c>
      <c r="E99" s="217"/>
      <c r="F99" s="217"/>
      <c r="G99" s="242"/>
      <c r="H99" s="243">
        <f>SUBTOTAL(9,H4:H98)</f>
        <v>4141896</v>
      </c>
      <c r="I99" s="242"/>
      <c r="J99" s="242"/>
      <c r="K99" s="244">
        <f t="shared" ref="K99:AB99" si="13">SUBTOTAL(9,K4:K98)</f>
        <v>528208.60629999998</v>
      </c>
      <c r="L99" s="244">
        <f t="shared" si="13"/>
        <v>12180.969800000003</v>
      </c>
      <c r="M99" s="244">
        <f t="shared" si="13"/>
        <v>12184.299699999998</v>
      </c>
      <c r="N99" s="244">
        <f t="shared" si="13"/>
        <v>1305.1943000000001</v>
      </c>
      <c r="O99" s="242">
        <f t="shared" si="13"/>
        <v>619373.14038238546</v>
      </c>
      <c r="P99" s="242">
        <f t="shared" si="13"/>
        <v>5129086269.6900005</v>
      </c>
      <c r="Q99" s="242">
        <f t="shared" si="13"/>
        <v>1006076852.48</v>
      </c>
      <c r="R99" s="242">
        <f t="shared" si="13"/>
        <v>4110945324.0999999</v>
      </c>
      <c r="S99" s="242">
        <f t="shared" si="13"/>
        <v>116937310.07999997</v>
      </c>
      <c r="T99" s="242">
        <f t="shared" si="13"/>
        <v>109658697.30000003</v>
      </c>
      <c r="U99" s="242">
        <f t="shared" si="13"/>
        <v>15662331.6</v>
      </c>
      <c r="V99" s="242">
        <f t="shared" si="13"/>
        <v>10488366785.25</v>
      </c>
      <c r="W99" s="242">
        <f t="shared" si="13"/>
        <v>4825917500</v>
      </c>
      <c r="X99" s="242">
        <f t="shared" si="13"/>
        <v>5662449285.250001</v>
      </c>
      <c r="Y99" s="242">
        <f t="shared" si="13"/>
        <v>81440729.310000002</v>
      </c>
      <c r="Z99" s="245">
        <f t="shared" si="13"/>
        <v>5743890014.5599985</v>
      </c>
      <c r="AA99" s="242">
        <f t="shared" si="13"/>
        <v>5176466485.7899971</v>
      </c>
      <c r="AB99" s="242">
        <f t="shared" si="13"/>
        <v>4903547197.0799999</v>
      </c>
      <c r="AD99" s="196"/>
      <c r="AE99" s="197"/>
    </row>
    <row r="100" spans="1:31">
      <c r="H100" s="235"/>
      <c r="K100" s="198"/>
      <c r="L100" s="198"/>
      <c r="M100" s="198"/>
      <c r="N100" s="198"/>
      <c r="P100" s="198"/>
      <c r="Q100" s="198"/>
      <c r="R100" s="198"/>
      <c r="U100" s="198"/>
      <c r="V100" s="198"/>
      <c r="W100" s="198"/>
      <c r="AB100" s="198"/>
    </row>
    <row r="101" spans="1:31">
      <c r="H101" s="235"/>
      <c r="K101" s="198"/>
      <c r="L101" s="198"/>
      <c r="M101" s="198"/>
      <c r="N101" s="198"/>
      <c r="U101" s="198"/>
    </row>
    <row r="102" spans="1:31">
      <c r="Z102" s="198"/>
    </row>
  </sheetData>
  <sheetProtection algorithmName="SHA-512" hashValue="IB3eDn4oMziITR4AT5d7GZEGcgz763Eq9wBwOD/pWcx/g5k9BWAoVBH1r4xy5VP30fQiDsWN0u44D9B67DxHuQ==" saltValue="YSsCZPTQQfqTm9lr/de4AQ==" spinCount="100000" sheet="1" objects="1" scenarios="1"/>
  <autoFilter ref="A3:AE98" xr:uid="{5348B988-219B-4F83-8042-52873406A850}"/>
  <phoneticPr fontId="2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1A20-F834-4C40-AFFD-64ACA8F066CE}">
  <sheetPr codeName="Sheet4"/>
  <dimension ref="A1:S57"/>
  <sheetViews>
    <sheetView zoomScale="90" zoomScaleNormal="90" workbookViewId="0">
      <selection activeCell="G10" sqref="G10"/>
    </sheetView>
  </sheetViews>
  <sheetFormatPr defaultColWidth="9" defaultRowHeight="15.75" customHeight="1"/>
  <cols>
    <col min="1" max="1" width="2" style="13" customWidth="1"/>
    <col min="2" max="2" width="37.90625" style="13" customWidth="1"/>
    <col min="3" max="3" width="21" style="13" customWidth="1"/>
    <col min="4" max="4" width="14.08984375" style="13" customWidth="1"/>
    <col min="5" max="5" width="13.26953125" style="13" customWidth="1"/>
    <col min="6" max="6" width="22.26953125" style="13" customWidth="1"/>
    <col min="7" max="7" width="17.6328125" style="13" customWidth="1"/>
    <col min="8" max="8" width="19.453125" style="13" customWidth="1"/>
    <col min="9" max="9" width="19.26953125" style="13" bestFit="1" customWidth="1"/>
    <col min="10" max="10" width="20.36328125" style="13" customWidth="1"/>
    <col min="11" max="11" width="18" style="13" customWidth="1"/>
    <col min="12" max="12" width="19" style="13" customWidth="1"/>
    <col min="13" max="13" width="29.6328125" style="13" customWidth="1"/>
    <col min="14" max="16384" width="9" style="13"/>
  </cols>
  <sheetData>
    <row r="1" spans="1:19" ht="15.75" customHeight="1" thickBot="1">
      <c r="B1" s="14" t="s">
        <v>249</v>
      </c>
      <c r="E1" s="14" t="s">
        <v>250</v>
      </c>
    </row>
    <row r="2" spans="1:19" s="15" customFormat="1" ht="38.25" customHeight="1">
      <c r="B2" s="16" t="s">
        <v>251</v>
      </c>
      <c r="C2" s="17" t="s">
        <v>252</v>
      </c>
      <c r="D2" s="18"/>
      <c r="E2" s="19" t="s">
        <v>221</v>
      </c>
      <c r="F2" s="20" t="s">
        <v>253</v>
      </c>
      <c r="I2" s="21"/>
      <c r="J2" s="21"/>
      <c r="K2" s="21"/>
      <c r="L2" s="21"/>
      <c r="M2" s="22"/>
      <c r="N2" s="23"/>
      <c r="O2" s="23"/>
    </row>
    <row r="3" spans="1:19" s="15" customFormat="1" ht="16.5" customHeight="1">
      <c r="B3" s="24" t="s">
        <v>244</v>
      </c>
      <c r="C3" s="25">
        <f>'2.จัดสรรหลังSK'!P99</f>
        <v>5129086269.6900005</v>
      </c>
      <c r="D3" s="7"/>
      <c r="E3" s="26" t="s">
        <v>18</v>
      </c>
      <c r="F3" s="27">
        <v>250679163</v>
      </c>
      <c r="G3" s="28"/>
      <c r="I3" s="29"/>
      <c r="L3" s="30"/>
      <c r="M3" s="31"/>
      <c r="N3" s="32"/>
      <c r="O3" s="28"/>
      <c r="P3" s="33"/>
    </row>
    <row r="4" spans="1:19" s="15" customFormat="1" ht="16.5" customHeight="1">
      <c r="B4" s="24" t="s">
        <v>254</v>
      </c>
      <c r="C4" s="25">
        <f>'2.จัดสรรหลังSK'!Q99</f>
        <v>1006076852.48</v>
      </c>
      <c r="D4" s="7"/>
      <c r="E4" s="34" t="s">
        <v>20</v>
      </c>
      <c r="F4" s="35">
        <v>225615295</v>
      </c>
      <c r="G4" s="28"/>
      <c r="I4" s="29"/>
      <c r="L4" s="30"/>
      <c r="M4" s="31"/>
      <c r="N4" s="32"/>
      <c r="O4" s="28"/>
      <c r="P4" s="36"/>
      <c r="Q4" s="37"/>
      <c r="R4" s="37"/>
      <c r="S4" s="32"/>
    </row>
    <row r="5" spans="1:19" s="15" customFormat="1" ht="16.5" customHeight="1">
      <c r="A5" s="38"/>
      <c r="B5" s="24" t="s">
        <v>255</v>
      </c>
      <c r="C5" s="25">
        <f>'2.จัดสรรหลังSK'!R99</f>
        <v>4110945324.0999999</v>
      </c>
      <c r="D5" s="7"/>
      <c r="E5" s="26" t="s">
        <v>21</v>
      </c>
      <c r="F5" s="27">
        <v>152736983</v>
      </c>
      <c r="G5" s="28"/>
      <c r="I5" s="29"/>
      <c r="L5" s="39"/>
      <c r="M5" s="31"/>
      <c r="N5" s="32"/>
      <c r="O5" s="28"/>
      <c r="P5" s="36"/>
      <c r="Q5" s="37"/>
      <c r="R5" s="37"/>
      <c r="S5" s="32"/>
    </row>
    <row r="6" spans="1:19" s="15" customFormat="1" ht="16.5" customHeight="1">
      <c r="A6" s="38"/>
      <c r="B6" s="24" t="s">
        <v>256</v>
      </c>
      <c r="C6" s="25">
        <f>'2.จัดสรรหลังSK'!S99</f>
        <v>116937310.07999997</v>
      </c>
      <c r="D6" s="7"/>
      <c r="E6" s="34" t="s">
        <v>22</v>
      </c>
      <c r="F6" s="35">
        <v>228469882</v>
      </c>
      <c r="G6" s="28"/>
      <c r="I6" s="29"/>
      <c r="L6" s="39"/>
      <c r="N6" s="28"/>
      <c r="O6" s="40"/>
      <c r="P6" s="36"/>
      <c r="Q6" s="37"/>
      <c r="R6" s="37"/>
      <c r="S6" s="32"/>
    </row>
    <row r="7" spans="1:19" s="15" customFormat="1" ht="16.5" customHeight="1">
      <c r="A7" s="38"/>
      <c r="B7" s="24" t="s">
        <v>399</v>
      </c>
      <c r="C7" s="25">
        <f>'2.จัดสรรหลังSK'!T99</f>
        <v>109658697.30000003</v>
      </c>
      <c r="D7" s="7"/>
      <c r="E7" s="26" t="s">
        <v>23</v>
      </c>
      <c r="F7" s="27">
        <v>336983326</v>
      </c>
      <c r="G7" s="28"/>
      <c r="H7" s="41"/>
      <c r="I7" s="29"/>
      <c r="L7" s="39"/>
      <c r="N7" s="42"/>
      <c r="O7" s="42"/>
      <c r="P7" s="36"/>
      <c r="Q7" s="37"/>
      <c r="R7" s="37"/>
      <c r="S7" s="32"/>
    </row>
    <row r="8" spans="1:19" s="15" customFormat="1" ht="16.5" customHeight="1">
      <c r="A8" s="38"/>
      <c r="B8" s="24" t="s">
        <v>400</v>
      </c>
      <c r="C8" s="143">
        <f>'2.จัดสรรหลังSK'!U99</f>
        <v>15662331.6</v>
      </c>
      <c r="D8" s="45"/>
      <c r="E8" s="34" t="s">
        <v>24</v>
      </c>
      <c r="F8" s="35">
        <v>389287346</v>
      </c>
      <c r="G8" s="28"/>
      <c r="N8" s="46"/>
      <c r="O8" s="36"/>
      <c r="P8" s="37"/>
      <c r="Q8" s="37"/>
      <c r="R8" s="32"/>
    </row>
    <row r="9" spans="1:19" s="15" customFormat="1" ht="16.5" customHeight="1">
      <c r="A9" s="38"/>
      <c r="B9" s="43" t="s">
        <v>257</v>
      </c>
      <c r="C9" s="44">
        <f>SUM(C3:C8)</f>
        <v>10488366785.25</v>
      </c>
      <c r="D9" s="7"/>
      <c r="E9" s="26" t="s">
        <v>25</v>
      </c>
      <c r="F9" s="27">
        <v>279270261</v>
      </c>
      <c r="G9" s="28"/>
      <c r="N9" s="46"/>
      <c r="O9" s="36"/>
      <c r="P9" s="37"/>
      <c r="Q9" s="37"/>
      <c r="R9" s="32"/>
    </row>
    <row r="10" spans="1:19" s="15" customFormat="1" ht="16.5" customHeight="1">
      <c r="A10" s="38"/>
      <c r="B10" s="47" t="s">
        <v>14</v>
      </c>
      <c r="C10" s="25">
        <f>'2.จัดสรรหลังSK'!W99</f>
        <v>4825917500</v>
      </c>
      <c r="D10" s="45"/>
      <c r="E10" s="34" t="s">
        <v>26</v>
      </c>
      <c r="F10" s="35">
        <v>279872544</v>
      </c>
      <c r="G10" s="28"/>
      <c r="H10" s="32"/>
      <c r="M10" s="36"/>
      <c r="N10" s="48"/>
      <c r="O10" s="37"/>
      <c r="P10" s="32"/>
    </row>
    <row r="11" spans="1:19" s="15" customFormat="1" ht="16.5" customHeight="1">
      <c r="A11" s="38"/>
      <c r="B11" s="43" t="s">
        <v>258</v>
      </c>
      <c r="C11" s="44">
        <f>C9-C10</f>
        <v>5662449285.25</v>
      </c>
      <c r="D11" s="7"/>
      <c r="E11" s="26" t="s">
        <v>217</v>
      </c>
      <c r="F11" s="27">
        <v>359213177</v>
      </c>
      <c r="G11" s="28"/>
      <c r="K11" s="49"/>
      <c r="L11" s="49"/>
      <c r="M11" s="50"/>
      <c r="N11" s="37"/>
      <c r="O11" s="37"/>
      <c r="P11" s="32"/>
    </row>
    <row r="12" spans="1:19" ht="16.5" customHeight="1">
      <c r="B12" s="47" t="s">
        <v>322</v>
      </c>
      <c r="C12" s="25">
        <f>'2.จัดสรรหลังSK'!Y99</f>
        <v>81440729.310000002</v>
      </c>
      <c r="D12" s="45"/>
      <c r="E12" s="34" t="s">
        <v>218</v>
      </c>
      <c r="F12" s="35">
        <v>208568659</v>
      </c>
      <c r="G12" s="28"/>
    </row>
    <row r="13" spans="1:19" ht="16.5" customHeight="1" thickBot="1">
      <c r="B13" s="51" t="s">
        <v>259</v>
      </c>
      <c r="C13" s="52">
        <f>C11+C12</f>
        <v>5743890014.5600004</v>
      </c>
      <c r="E13" s="26" t="s">
        <v>219</v>
      </c>
      <c r="F13" s="27">
        <v>229612731</v>
      </c>
      <c r="G13" s="28"/>
    </row>
    <row r="14" spans="1:19" ht="16.5" customHeight="1">
      <c r="B14" s="53"/>
      <c r="C14" s="54"/>
      <c r="E14" s="34" t="s">
        <v>220</v>
      </c>
      <c r="F14" s="35">
        <v>259690633</v>
      </c>
      <c r="G14" s="28"/>
    </row>
    <row r="15" spans="1:19" ht="16.5" customHeight="1" thickBot="1">
      <c r="E15" s="55" t="s">
        <v>260</v>
      </c>
      <c r="F15" s="56">
        <f>SUM(F3:F14)</f>
        <v>3200000000</v>
      </c>
      <c r="G15" s="28"/>
    </row>
    <row r="16" spans="1:19" ht="13.5" customHeight="1"/>
    <row r="17" spans="2:3" ht="13.5" customHeight="1">
      <c r="C17" s="144"/>
    </row>
    <row r="18" spans="2:3" ht="13.5" customHeight="1"/>
    <row r="19" spans="2:3" ht="13.5" customHeight="1"/>
    <row r="20" spans="2:3" ht="13.5" customHeight="1"/>
    <row r="21" spans="2:3" ht="13.5" customHeight="1"/>
    <row r="22" spans="2:3" ht="13.5" customHeight="1"/>
    <row r="23" spans="2:3" ht="13.5" customHeight="1"/>
    <row r="24" spans="2:3" ht="13.5" customHeight="1"/>
    <row r="25" spans="2:3" ht="13.5" customHeight="1"/>
    <row r="26" spans="2:3" ht="13.5" customHeight="1"/>
    <row r="27" spans="2:3" ht="13.5" customHeight="1"/>
    <row r="28" spans="2:3" ht="13.5" customHeight="1"/>
    <row r="29" spans="2:3" ht="13.5" customHeight="1"/>
    <row r="30" spans="2:3" ht="13.5" customHeight="1">
      <c r="B30" s="14"/>
    </row>
    <row r="31" spans="2:3" ht="13.5" customHeight="1"/>
    <row r="32" spans="2:3" ht="13.5" customHeight="1"/>
    <row r="33" spans="8:8" ht="13.5" customHeight="1"/>
    <row r="34" spans="8:8" ht="15.75" customHeight="1">
      <c r="H34" s="57"/>
    </row>
    <row r="55" spans="2:3" ht="15.75" customHeight="1">
      <c r="B55" s="58"/>
      <c r="C55" s="30"/>
    </row>
    <row r="56" spans="2:3" ht="15.75" customHeight="1">
      <c r="B56" s="59"/>
      <c r="C56" s="28"/>
    </row>
    <row r="57" spans="2:3" ht="15.75" customHeight="1">
      <c r="B57" s="59"/>
      <c r="C57" s="28"/>
    </row>
  </sheetData>
  <sheetProtection algorithmName="SHA-512" hashValue="wg2gzPv9Xk2kMrUr1nGsi2AFfXb8xYBW7IoM5mlsVu6bIBqF60N1okN6GVcxjg+hDI5Hna7FDsu4ie1oWx/91Q==" saltValue="ng6EF4sPmXIAyyn29Fjo0w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18AD-4A7D-44A3-A8EB-01CA64D85B40}">
  <sheetPr codeName="Sheet5"/>
  <dimension ref="A1:AO113"/>
  <sheetViews>
    <sheetView tabSelected="1" zoomScale="80" zoomScaleNormal="80" workbookViewId="0">
      <pane xSplit="9" ySplit="15" topLeftCell="AG16" activePane="bottomRight" state="frozen"/>
      <selection pane="topRight" activeCell="J1" sqref="J1"/>
      <selection pane="bottomLeft" activeCell="A17" sqref="A17"/>
      <selection pane="bottomRight" activeCell="AI16" sqref="AI16"/>
    </sheetView>
  </sheetViews>
  <sheetFormatPr defaultColWidth="9" defaultRowHeight="13" outlineLevelRow="2"/>
  <cols>
    <col min="1" max="1" width="5" style="4" customWidth="1"/>
    <col min="2" max="2" width="4.36328125" style="4" customWidth="1"/>
    <col min="3" max="3" width="5.453125" style="4" hidden="1" customWidth="1"/>
    <col min="4" max="4" width="9" style="4"/>
    <col min="5" max="5" width="7" style="4" customWidth="1"/>
    <col min="6" max="6" width="19" style="4" customWidth="1"/>
    <col min="7" max="7" width="8.26953125" style="4" customWidth="1"/>
    <col min="8" max="8" width="9.26953125" style="4" customWidth="1"/>
    <col min="9" max="9" width="8.90625" style="4" customWidth="1"/>
    <col min="10" max="10" width="13.36328125" style="4" customWidth="1"/>
    <col min="11" max="11" width="14.08984375" style="4" customWidth="1"/>
    <col min="12" max="12" width="13.7265625" style="4" customWidth="1"/>
    <col min="13" max="13" width="13.90625" style="4" customWidth="1"/>
    <col min="14" max="14" width="12.7265625" style="4" customWidth="1"/>
    <col min="15" max="16" width="13.26953125" style="4" customWidth="1"/>
    <col min="17" max="17" width="12.453125" style="4" customWidth="1"/>
    <col min="18" max="18" width="17.36328125" style="4" bestFit="1" customWidth="1"/>
    <col min="19" max="19" width="18.6328125" style="4" bestFit="1" customWidth="1"/>
    <col min="20" max="20" width="16.90625" style="4" customWidth="1"/>
    <col min="21" max="21" width="16.36328125" style="4" customWidth="1"/>
    <col min="22" max="22" width="16.7265625" style="4" customWidth="1"/>
    <col min="23" max="23" width="17.90625" style="4" customWidth="1"/>
    <col min="24" max="25" width="17.453125" style="4" customWidth="1"/>
    <col min="26" max="26" width="16.36328125" style="4" customWidth="1"/>
    <col min="27" max="27" width="17" style="4" customWidth="1"/>
    <col min="28" max="28" width="16.7265625" style="4" customWidth="1"/>
    <col min="29" max="29" width="20.08984375" style="4" customWidth="1"/>
    <col min="30" max="30" width="18.26953125" style="4" customWidth="1"/>
    <col min="31" max="31" width="19.26953125" style="4" customWidth="1"/>
    <col min="32" max="32" width="15.7265625" style="4" customWidth="1"/>
    <col min="33" max="33" width="11" style="4" customWidth="1"/>
    <col min="34" max="34" width="18.36328125" style="4" customWidth="1"/>
    <col min="35" max="35" width="19.26953125" style="4" customWidth="1"/>
    <col min="36" max="36" width="16.7265625" style="4" customWidth="1"/>
    <col min="37" max="37" width="16" style="4" customWidth="1"/>
    <col min="38" max="38" width="16.453125" style="4" customWidth="1"/>
    <col min="39" max="40" width="18.26953125" style="4" customWidth="1"/>
    <col min="41" max="41" width="15.90625" style="4" customWidth="1"/>
    <col min="42" max="16384" width="9" style="4"/>
  </cols>
  <sheetData>
    <row r="1" spans="1:41" ht="23.25" customHeight="1">
      <c r="I1" s="277">
        <v>1</v>
      </c>
      <c r="J1" s="125" t="s">
        <v>348</v>
      </c>
      <c r="K1" s="126" t="s">
        <v>349</v>
      </c>
      <c r="L1" s="117" t="s">
        <v>350</v>
      </c>
    </row>
    <row r="2" spans="1:41" ht="12.75" customHeight="1">
      <c r="I2" s="116"/>
      <c r="J2" s="60" t="s">
        <v>337</v>
      </c>
      <c r="K2" s="115">
        <v>2</v>
      </c>
      <c r="L2" s="127"/>
    </row>
    <row r="3" spans="1:41" ht="12.75" customHeight="1">
      <c r="J3" s="60" t="s">
        <v>338</v>
      </c>
      <c r="K3" s="115">
        <v>1.8</v>
      </c>
      <c r="L3" s="127"/>
    </row>
    <row r="4" spans="1:41" ht="12.75" customHeight="1">
      <c r="J4" s="60" t="s">
        <v>339</v>
      </c>
      <c r="K4" s="115">
        <v>1.6</v>
      </c>
      <c r="L4" s="127"/>
    </row>
    <row r="5" spans="1:41" ht="12.75" customHeight="1">
      <c r="J5" s="60" t="s">
        <v>340</v>
      </c>
      <c r="K5" s="115">
        <v>1.4</v>
      </c>
      <c r="L5" s="127"/>
    </row>
    <row r="6" spans="1:41" ht="12.75" customHeight="1">
      <c r="J6" s="60" t="s">
        <v>341</v>
      </c>
      <c r="K6" s="115">
        <v>1.2</v>
      </c>
      <c r="L6" s="127"/>
    </row>
    <row r="7" spans="1:41" ht="12.75" customHeight="1">
      <c r="J7" s="60" t="s">
        <v>342</v>
      </c>
      <c r="K7" s="115">
        <v>1.1000000000000001</v>
      </c>
      <c r="L7" s="127"/>
      <c r="Q7" s="5"/>
      <c r="R7" s="5"/>
      <c r="S7" s="5"/>
      <c r="T7" s="5"/>
      <c r="U7" s="5"/>
      <c r="V7" s="5"/>
      <c r="W7" s="5"/>
      <c r="X7" s="5"/>
      <c r="Y7" s="5"/>
      <c r="Z7" s="5"/>
      <c r="AA7" s="146"/>
      <c r="AB7" s="147"/>
      <c r="AC7" s="148"/>
      <c r="AD7" s="148"/>
      <c r="AE7" s="148"/>
      <c r="AF7" s="148"/>
      <c r="AG7" s="148"/>
      <c r="AH7" s="148"/>
      <c r="AI7" s="147"/>
      <c r="AJ7" s="147"/>
      <c r="AK7" s="67"/>
      <c r="AL7" s="67"/>
      <c r="AM7" s="67"/>
      <c r="AN7" s="67"/>
      <c r="AO7" s="67"/>
    </row>
    <row r="8" spans="1:41" ht="12.75" customHeight="1">
      <c r="J8" s="60" t="s">
        <v>343</v>
      </c>
      <c r="K8" s="115">
        <v>1</v>
      </c>
      <c r="L8" s="127"/>
    </row>
    <row r="9" spans="1:41" ht="12.75" customHeight="1">
      <c r="J9" s="60" t="s">
        <v>344</v>
      </c>
      <c r="K9" s="115">
        <v>0.95</v>
      </c>
      <c r="L9" s="127"/>
    </row>
    <row r="10" spans="1:41" ht="12.75" customHeight="1">
      <c r="J10" s="60" t="s">
        <v>345</v>
      </c>
      <c r="K10" s="115">
        <v>0.9</v>
      </c>
      <c r="L10" s="127"/>
    </row>
    <row r="11" spans="1:41" ht="12.75" customHeight="1">
      <c r="J11" s="60" t="s">
        <v>346</v>
      </c>
      <c r="K11" s="115">
        <v>0.85</v>
      </c>
      <c r="L11" s="127"/>
      <c r="Y11" s="130"/>
      <c r="Z11" s="131" t="str">
        <f>'3.สรุปวงเงินเขต'!B12</f>
        <v>เงินเติมตามเกณฑ์ สป.สธ.</v>
      </c>
      <c r="AA11" s="132">
        <f>'3.สรุปวงเงินเขต'!C12</f>
        <v>81440729.310000002</v>
      </c>
      <c r="AC11" s="295" t="s">
        <v>274</v>
      </c>
      <c r="AD11" s="296"/>
      <c r="AE11" s="296"/>
      <c r="AF11" s="296"/>
      <c r="AG11" s="296"/>
      <c r="AH11" s="296"/>
      <c r="AI11" s="62" t="s">
        <v>253</v>
      </c>
      <c r="AJ11" s="72">
        <f>'3.สรุปวงเงินเขต'!F10</f>
        <v>279872544</v>
      </c>
      <c r="AK11" s="286" t="s">
        <v>275</v>
      </c>
      <c r="AL11" s="287"/>
      <c r="AM11" s="288"/>
      <c r="AN11" s="280" t="s">
        <v>276</v>
      </c>
      <c r="AO11" s="281"/>
    </row>
    <row r="12" spans="1:41" ht="12.75" customHeight="1">
      <c r="J12" s="60" t="s">
        <v>347</v>
      </c>
      <c r="K12" s="115">
        <v>0.8</v>
      </c>
      <c r="L12" s="127"/>
      <c r="Y12" s="130"/>
      <c r="Z12" s="133" t="s">
        <v>358</v>
      </c>
      <c r="AA12" s="134">
        <f>AA111</f>
        <v>81440729.310000002</v>
      </c>
      <c r="AC12" s="297"/>
      <c r="AD12" s="298"/>
      <c r="AE12" s="298"/>
      <c r="AF12" s="298"/>
      <c r="AG12" s="298"/>
      <c r="AH12" s="298"/>
      <c r="AI12" s="73" t="s">
        <v>277</v>
      </c>
      <c r="AJ12" s="74">
        <f>AI111</f>
        <v>0</v>
      </c>
      <c r="AK12" s="289"/>
      <c r="AL12" s="290"/>
      <c r="AM12" s="291"/>
      <c r="AN12" s="282"/>
      <c r="AO12" s="283"/>
    </row>
    <row r="13" spans="1:41">
      <c r="P13" s="63" t="s">
        <v>284</v>
      </c>
      <c r="Q13" s="64">
        <f>'3.สรุปวงเงินเขต'!C5/SUMPRODUCT($I$16:$I$110,$M$16:$M$110)</f>
        <v>7038.3311424701133</v>
      </c>
      <c r="Y13" s="130"/>
      <c r="Z13" s="133" t="s">
        <v>359</v>
      </c>
      <c r="AA13" s="132">
        <f>ROUND(AA11-AA12,2)</f>
        <v>0</v>
      </c>
      <c r="AC13" s="299"/>
      <c r="AD13" s="300"/>
      <c r="AE13" s="300"/>
      <c r="AF13" s="300"/>
      <c r="AG13" s="300"/>
      <c r="AH13" s="300"/>
      <c r="AI13" s="75" t="s">
        <v>278</v>
      </c>
      <c r="AJ13" s="76">
        <f>ROUND(AJ11-AJ12,2)</f>
        <v>279872544</v>
      </c>
      <c r="AK13" s="292"/>
      <c r="AL13" s="293"/>
      <c r="AM13" s="294"/>
      <c r="AN13" s="284"/>
      <c r="AO13" s="285"/>
    </row>
    <row r="14" spans="1:41" s="67" customFormat="1" ht="21" customHeight="1">
      <c r="A14" s="9"/>
      <c r="B14" s="9"/>
      <c r="C14" s="9"/>
      <c r="D14" s="9"/>
      <c r="E14" s="9"/>
      <c r="F14" s="9"/>
      <c r="G14" s="278" t="s">
        <v>271</v>
      </c>
      <c r="H14" s="278"/>
      <c r="I14" s="279"/>
      <c r="J14" s="61" t="s">
        <v>222</v>
      </c>
      <c r="K14" s="12" t="s">
        <v>223</v>
      </c>
      <c r="L14" s="12" t="s">
        <v>224</v>
      </c>
      <c r="M14" s="12" t="s">
        <v>225</v>
      </c>
      <c r="N14" s="12" t="s">
        <v>226</v>
      </c>
      <c r="O14" s="12" t="s">
        <v>227</v>
      </c>
      <c r="P14" s="12" t="s">
        <v>235</v>
      </c>
      <c r="Q14" s="12" t="s">
        <v>385</v>
      </c>
      <c r="R14" s="12" t="s">
        <v>386</v>
      </c>
      <c r="S14" s="12" t="s">
        <v>387</v>
      </c>
      <c r="T14" s="12" t="s">
        <v>389</v>
      </c>
      <c r="U14" s="12" t="s">
        <v>388</v>
      </c>
      <c r="V14" s="12" t="s">
        <v>390</v>
      </c>
      <c r="W14" s="12" t="s">
        <v>391</v>
      </c>
      <c r="X14" s="12" t="s">
        <v>392</v>
      </c>
      <c r="Y14" s="12" t="s">
        <v>238</v>
      </c>
      <c r="Z14" s="12" t="s">
        <v>393</v>
      </c>
      <c r="AA14" s="77" t="s">
        <v>239</v>
      </c>
      <c r="AB14" s="78" t="s">
        <v>407</v>
      </c>
      <c r="AC14" s="79" t="s">
        <v>408</v>
      </c>
      <c r="AD14" s="79" t="s">
        <v>409</v>
      </c>
      <c r="AE14" s="79" t="s">
        <v>410</v>
      </c>
      <c r="AF14" s="79" t="s">
        <v>411</v>
      </c>
      <c r="AG14" s="79" t="s">
        <v>279</v>
      </c>
      <c r="AH14" s="135" t="s">
        <v>412</v>
      </c>
      <c r="AI14" s="80" t="s">
        <v>356</v>
      </c>
      <c r="AJ14" s="81" t="s">
        <v>413</v>
      </c>
      <c r="AK14" s="82" t="s">
        <v>414</v>
      </c>
      <c r="AL14" s="82" t="s">
        <v>415</v>
      </c>
      <c r="AM14" s="82" t="s">
        <v>416</v>
      </c>
      <c r="AN14" s="82" t="s">
        <v>417</v>
      </c>
      <c r="AO14" s="82" t="s">
        <v>418</v>
      </c>
    </row>
    <row r="15" spans="1:41" s="5" customFormat="1" ht="59.25" customHeight="1">
      <c r="A15" s="83" t="s">
        <v>261</v>
      </c>
      <c r="B15" s="83" t="s">
        <v>221</v>
      </c>
      <c r="C15" s="83" t="s">
        <v>9</v>
      </c>
      <c r="D15" s="83" t="s">
        <v>262</v>
      </c>
      <c r="E15" s="83" t="s">
        <v>10</v>
      </c>
      <c r="F15" s="83" t="s">
        <v>320</v>
      </c>
      <c r="G15" s="84" t="s">
        <v>272</v>
      </c>
      <c r="H15" s="85" t="s">
        <v>273</v>
      </c>
      <c r="I15" s="86" t="s">
        <v>321</v>
      </c>
      <c r="J15" s="6" t="s">
        <v>240</v>
      </c>
      <c r="K15" s="6" t="s">
        <v>241</v>
      </c>
      <c r="L15" s="6" t="s">
        <v>242</v>
      </c>
      <c r="M15" s="6" t="s">
        <v>232</v>
      </c>
      <c r="N15" s="6" t="s">
        <v>233</v>
      </c>
      <c r="O15" s="87" t="s">
        <v>234</v>
      </c>
      <c r="P15" s="87" t="s">
        <v>403</v>
      </c>
      <c r="Q15" s="6" t="s">
        <v>243</v>
      </c>
      <c r="R15" s="6" t="s">
        <v>244</v>
      </c>
      <c r="S15" s="6" t="s">
        <v>245</v>
      </c>
      <c r="T15" s="6" t="s">
        <v>246</v>
      </c>
      <c r="U15" s="6" t="s">
        <v>13</v>
      </c>
      <c r="V15" s="11" t="s">
        <v>401</v>
      </c>
      <c r="W15" s="11" t="s">
        <v>402</v>
      </c>
      <c r="X15" s="6" t="s">
        <v>247</v>
      </c>
      <c r="Y15" s="6" t="s">
        <v>14</v>
      </c>
      <c r="Z15" s="6" t="s">
        <v>248</v>
      </c>
      <c r="AA15" s="88" t="s">
        <v>285</v>
      </c>
      <c r="AB15" s="89" t="s">
        <v>286</v>
      </c>
      <c r="AC15" s="128" t="s">
        <v>423</v>
      </c>
      <c r="AD15" s="118" t="s">
        <v>404</v>
      </c>
      <c r="AE15" s="128" t="s">
        <v>357</v>
      </c>
      <c r="AF15" s="129" t="s">
        <v>424</v>
      </c>
      <c r="AG15" s="11" t="s">
        <v>280</v>
      </c>
      <c r="AH15" s="84" t="s">
        <v>360</v>
      </c>
      <c r="AI15" s="85" t="s">
        <v>281</v>
      </c>
      <c r="AJ15" s="90" t="s">
        <v>282</v>
      </c>
      <c r="AK15" s="91" t="s">
        <v>16</v>
      </c>
      <c r="AL15" s="91" t="s">
        <v>17</v>
      </c>
      <c r="AM15" s="6" t="s">
        <v>283</v>
      </c>
      <c r="AN15" s="11" t="s">
        <v>405</v>
      </c>
      <c r="AO15" s="11" t="s">
        <v>406</v>
      </c>
    </row>
    <row r="16" spans="1:41" ht="14.25" customHeight="1" outlineLevel="2">
      <c r="A16" s="157">
        <v>499</v>
      </c>
      <c r="B16" s="104" t="s">
        <v>26</v>
      </c>
      <c r="C16" s="104" t="s">
        <v>27</v>
      </c>
      <c r="D16" s="104" t="s">
        <v>28</v>
      </c>
      <c r="E16" s="104" t="s">
        <v>29</v>
      </c>
      <c r="F16" s="104" t="s">
        <v>30</v>
      </c>
      <c r="G16" s="105">
        <v>1.1499999999999999</v>
      </c>
      <c r="H16" s="106"/>
      <c r="I16" s="107">
        <f t="shared" ref="I16:I32" si="0">IF(H16&lt;&gt;"",ROUND(H16,2),G16)</f>
        <v>1.1499999999999999</v>
      </c>
      <c r="J16" s="158">
        <f>VLOOKUP($E16,'2.จัดสรรหลังSK'!$E$4:$H$98,4,FALSE)</f>
        <v>77001</v>
      </c>
      <c r="K16" s="108">
        <f>IF($I$1=1,VLOOKUP($E16,'2.จัดสรรหลังSK'!$E$4:$AA$98,5,FALSE),VLOOKUP($E16,Step!$E$5:$AG$99,23,FALSE))</f>
        <v>1104.8337009908962</v>
      </c>
      <c r="L16" s="108">
        <f>IF($I$1=1,VLOOKUP($E16,'2.จัดสรรหลังSK'!$E$4:$AA$98,6,FALSE),VLOOKUP($E16,Step!$E$5:$AG$99,28,FALSE))</f>
        <v>221.68117375099024</v>
      </c>
      <c r="M16" s="109">
        <v>17006.694100000001</v>
      </c>
      <c r="N16" s="109">
        <v>422.09010000000001</v>
      </c>
      <c r="O16" s="109">
        <v>389.9769</v>
      </c>
      <c r="P16" s="109">
        <v>7.9749999999999996</v>
      </c>
      <c r="Q16" s="105">
        <f t="shared" ref="Q16:Q32" si="1">$Q$13</f>
        <v>7038.3311424701133</v>
      </c>
      <c r="R16" s="105">
        <f>IF($I$1=1,VLOOKUP($E16,'2.จัดสรรหลังSK'!$E$4:$AA$98,12,FALSE),VLOOKUP($E16,Step!$E$5:$AG$99,24,FALSE))</f>
        <v>85073299.810000002</v>
      </c>
      <c r="S16" s="105">
        <f>IF($I$1=1,VLOOKUP($E16,'2.จัดสรรหลังSK'!$E$4:$AA$98,13,FALSE),VLOOKUP($E16,Step!$E$5:$AG$99,29,FALSE))</f>
        <v>17069672.059999999</v>
      </c>
      <c r="T16" s="65">
        <f>IF($H$111&lt;&gt;0,ROUND(ROUND(M16*I16,4)*Q16,2),VLOOKUP($E16,'2.จัดสรรหลังSK'!$E$4:$R$98,14,FALSE))</f>
        <v>137653556.28</v>
      </c>
      <c r="U16" s="105">
        <f>VLOOKUP($E16,'2.จัดสรรหลังSK'!$E$4:$S$98,15,FALSE)</f>
        <v>4052064.96</v>
      </c>
      <c r="V16" s="105">
        <f>VLOOKUP($E16,'2.จัดสรรหลังSK'!$E$4:$T$98,16,FALSE)</f>
        <v>3509792.1</v>
      </c>
      <c r="W16" s="105">
        <f>VLOOKUP($E16,'2.จัดสรรหลังSK'!$E$4:$U$98,17,FALSE)</f>
        <v>95700</v>
      </c>
      <c r="X16" s="108">
        <f t="shared" ref="X16:X32" si="2">SUM(R16:W16)</f>
        <v>247454085.21000001</v>
      </c>
      <c r="Y16" s="108">
        <f>VLOOKUP($E16,'2.จัดสรรหลังSK'!$E$4:$W$98,19,FALSE)</f>
        <v>101376915</v>
      </c>
      <c r="Z16" s="105">
        <f t="shared" ref="Z16:Z32" si="3">ROUND(X16-Y16,2)</f>
        <v>146077170.21000001</v>
      </c>
      <c r="AA16" s="110">
        <v>0</v>
      </c>
      <c r="AB16" s="111">
        <f t="shared" ref="AB16:AB32" si="4">ROUND(Z16+AA16,2)</f>
        <v>146077170.21000001</v>
      </c>
      <c r="AC16" s="108">
        <f>VLOOKUP($E16,'2.จัดสรรหลังSK'!$E$4:$AA$98,23,FALSE)</f>
        <v>123938225.91</v>
      </c>
      <c r="AD16" s="108">
        <f>VLOOKUP($E16,'2.จัดสรรหลังSK'!$E$4:$AB$98,24,FALSE)</f>
        <v>117415161.39</v>
      </c>
      <c r="AE16" s="108">
        <f t="shared" ref="AE16:AE32" si="5">ROUND(AB16-AC16,2)</f>
        <v>22138944.300000001</v>
      </c>
      <c r="AF16" s="108">
        <f t="shared" ref="AF16:AF32" si="6">ROUND(AB16-AD16,2)</f>
        <v>28662008.82</v>
      </c>
      <c r="AG16" s="159" t="str">
        <f t="shared" ref="AG16:AG32" si="7">IF(AB16&gt;=AD16,"ผ่าน","ไม่ผ่าน")</f>
        <v>ผ่าน</v>
      </c>
      <c r="AH16" s="108">
        <f t="shared" ref="AH16:AH22" si="8">IF(AND(AB16&gt;AD16,AB16&lt;AC16),AB16,AC16)</f>
        <v>123938225.91</v>
      </c>
      <c r="AI16" s="112"/>
      <c r="AJ16" s="108">
        <f t="shared" ref="AJ16:AJ32" si="9">ROUND(AB16+AI16,2)</f>
        <v>146077170.21000001</v>
      </c>
      <c r="AK16" s="112"/>
      <c r="AL16" s="112"/>
      <c r="AM16" s="108">
        <f t="shared" ref="AM16:AM32" si="10">ROUND(AK16+AL16,2)</f>
        <v>0</v>
      </c>
      <c r="AN16" s="108">
        <f t="shared" ref="AN16:AN32" si="11">ROUND(AB16-AM16,2)</f>
        <v>146077170.21000001</v>
      </c>
      <c r="AO16" s="108">
        <f t="shared" ref="AO16:AO32" si="12">ROUND(AJ16-AM16,2)</f>
        <v>146077170.21000001</v>
      </c>
    </row>
    <row r="17" spans="1:41" ht="14.25" customHeight="1" outlineLevel="2">
      <c r="A17" s="92">
        <v>500</v>
      </c>
      <c r="B17" s="60" t="s">
        <v>26</v>
      </c>
      <c r="C17" s="60" t="s">
        <v>27</v>
      </c>
      <c r="D17" s="60" t="s">
        <v>28</v>
      </c>
      <c r="E17" s="60" t="s">
        <v>31</v>
      </c>
      <c r="F17" s="60" t="s">
        <v>32</v>
      </c>
      <c r="G17" s="93">
        <v>1.2</v>
      </c>
      <c r="H17" s="71"/>
      <c r="I17" s="65">
        <f t="shared" si="0"/>
        <v>1.2</v>
      </c>
      <c r="J17" s="94">
        <f>VLOOKUP($E17,'2.จัดสรรหลังSK'!$E$4:$H$98,4,FALSE)</f>
        <v>42139</v>
      </c>
      <c r="K17" s="8">
        <f>IF($I$1=1,VLOOKUP($E17,'2.จัดสรรหลังSK'!$E$4:$AA$98,5,FALSE),VLOOKUP($E17,Step!$E$5:$AG$99,23,FALSE))</f>
        <v>1303.1099038895086</v>
      </c>
      <c r="L17" s="8">
        <f>IF($I$1=1,VLOOKUP($E17,'2.จัดสรรหลังSK'!$E$4:$AA$98,6,FALSE),VLOOKUP($E17,Step!$E$5:$AG$99,28,FALSE))</f>
        <v>261.4646282541114</v>
      </c>
      <c r="M17" s="95">
        <v>1910.0536999999999</v>
      </c>
      <c r="N17" s="95">
        <v>44.394199999999998</v>
      </c>
      <c r="O17" s="95">
        <v>0</v>
      </c>
      <c r="P17" s="95">
        <v>0</v>
      </c>
      <c r="Q17" s="93">
        <f t="shared" si="1"/>
        <v>7038.3311424701133</v>
      </c>
      <c r="R17" s="93">
        <f>IF($I$1=1,VLOOKUP($E17,'2.จัดสรรหลังSK'!$E$4:$AA$98,12,FALSE),VLOOKUP($E17,Step!$E$5:$AG$99,24,FALSE))</f>
        <v>54911748.240000002</v>
      </c>
      <c r="S17" s="93">
        <f>IF($I$1=1,VLOOKUP($E17,'2.จัดสรรหลังSK'!$E$4:$AA$98,13,FALSE),VLOOKUP($E17,Step!$E$5:$AG$99,29,FALSE))</f>
        <v>11017857.970000001</v>
      </c>
      <c r="T17" s="65">
        <f>IF($H$111&lt;&gt;0,ROUND(ROUND(M17*I17,4)*Q17,2),VLOOKUP($E17,'2.จัดสรรหลังSK'!$E$4:$R$98,14,FALSE))</f>
        <v>16132308.24</v>
      </c>
      <c r="U17" s="93">
        <f>VLOOKUP($E17,'2.จัดสรรหลังSK'!$E$4:$S$98,15,FALSE)</f>
        <v>426184.32</v>
      </c>
      <c r="V17" s="93">
        <f>VLOOKUP($E17,'2.จัดสรรหลังSK'!$E$4:$T$98,16,FALSE)</f>
        <v>0</v>
      </c>
      <c r="W17" s="93">
        <f>VLOOKUP($E17,'2.จัดสรรหลังSK'!$E$4:$U$98,17,FALSE)</f>
        <v>0</v>
      </c>
      <c r="X17" s="8">
        <f t="shared" si="2"/>
        <v>82488098.769999996</v>
      </c>
      <c r="Y17" s="8">
        <f>VLOOKUP($E17,'2.จัดสรรหลังSK'!$E$4:$W$98,19,FALSE)</f>
        <v>28429536</v>
      </c>
      <c r="Z17" s="93">
        <f t="shared" si="3"/>
        <v>54058562.770000003</v>
      </c>
      <c r="AA17" s="66">
        <v>0</v>
      </c>
      <c r="AB17" s="96">
        <f t="shared" si="4"/>
        <v>54058562.770000003</v>
      </c>
      <c r="AC17" s="8">
        <f>VLOOKUP($E17,'2.จัดสรรหลังSK'!$E$4:$AA$98,23,FALSE)</f>
        <v>44026058.899999999</v>
      </c>
      <c r="AD17" s="8">
        <f>VLOOKUP($E17,'2.จัดสรรหลังSK'!$E$4:$AB$98,24,FALSE)</f>
        <v>41708897.899999999</v>
      </c>
      <c r="AE17" s="8">
        <f t="shared" si="5"/>
        <v>10032503.869999999</v>
      </c>
      <c r="AF17" s="8">
        <f t="shared" si="6"/>
        <v>12349664.869999999</v>
      </c>
      <c r="AG17" s="97" t="str">
        <f t="shared" si="7"/>
        <v>ผ่าน</v>
      </c>
      <c r="AH17" s="8">
        <f t="shared" si="8"/>
        <v>44026058.899999999</v>
      </c>
      <c r="AI17" s="98"/>
      <c r="AJ17" s="8">
        <f t="shared" si="9"/>
        <v>54058562.770000003</v>
      </c>
      <c r="AK17" s="98"/>
      <c r="AL17" s="98"/>
      <c r="AM17" s="8">
        <f t="shared" si="10"/>
        <v>0</v>
      </c>
      <c r="AN17" s="8">
        <f t="shared" si="11"/>
        <v>54058562.770000003</v>
      </c>
      <c r="AO17" s="8">
        <f t="shared" si="12"/>
        <v>54058562.770000003</v>
      </c>
    </row>
    <row r="18" spans="1:41" ht="14.25" customHeight="1" outlineLevel="2">
      <c r="A18" s="92">
        <v>501</v>
      </c>
      <c r="B18" s="60" t="s">
        <v>26</v>
      </c>
      <c r="C18" s="60" t="s">
        <v>27</v>
      </c>
      <c r="D18" s="60" t="s">
        <v>28</v>
      </c>
      <c r="E18" s="60" t="s">
        <v>33</v>
      </c>
      <c r="F18" s="60" t="s">
        <v>34</v>
      </c>
      <c r="G18" s="93">
        <v>1.1499999999999999</v>
      </c>
      <c r="H18" s="71"/>
      <c r="I18" s="65">
        <f t="shared" si="0"/>
        <v>1.1499999999999999</v>
      </c>
      <c r="J18" s="94">
        <f>VLOOKUP($E18,'2.จัดสรรหลังSK'!$E$4:$H$98,4,FALSE)</f>
        <v>49027</v>
      </c>
      <c r="K18" s="8">
        <f>IF($I$1=1,VLOOKUP($E18,'2.จัดสรรหลังSK'!$E$4:$AA$98,5,FALSE),VLOOKUP($E18,Step!$E$5:$AG$99,23,FALSE))</f>
        <v>1253.9827858118995</v>
      </c>
      <c r="L18" s="8">
        <f>IF($I$1=1,VLOOKUP($E18,'2.จัดสรรหลังSK'!$E$4:$AA$98,6,FALSE),VLOOKUP($E18,Step!$E$5:$AG$99,28,FALSE))</f>
        <v>251.60743712648133</v>
      </c>
      <c r="M18" s="95">
        <v>2365.1954999999998</v>
      </c>
      <c r="N18" s="95">
        <v>52.448999999999998</v>
      </c>
      <c r="O18" s="95">
        <v>0</v>
      </c>
      <c r="P18" s="95">
        <v>0</v>
      </c>
      <c r="Q18" s="93">
        <f t="shared" si="1"/>
        <v>7038.3311424701133</v>
      </c>
      <c r="R18" s="93">
        <f>IF($I$1=1,VLOOKUP($E18,'2.จัดสรรหลังSK'!$E$4:$AA$98,12,FALSE),VLOOKUP($E18,Step!$E$5:$AG$99,24,FALSE))</f>
        <v>61479014.039999999</v>
      </c>
      <c r="S18" s="93">
        <f>IF($I$1=1,VLOOKUP($E18,'2.จัดสรรหลังSK'!$E$4:$AA$98,13,FALSE),VLOOKUP($E18,Step!$E$5:$AG$99,29,FALSE))</f>
        <v>12335557.82</v>
      </c>
      <c r="T18" s="65">
        <f>IF($H$111&lt;&gt;0,ROUND(ROUND(M18*I18,4)*Q18,2),VLOOKUP($E18,'2.จัดสรรหลังSK'!$E$4:$R$98,14,FALSE))</f>
        <v>19144083.34</v>
      </c>
      <c r="U18" s="93">
        <f>VLOOKUP($E18,'2.จัดสรรหลังSK'!$E$4:$S$98,15,FALSE)</f>
        <v>503510.4</v>
      </c>
      <c r="V18" s="93">
        <f>VLOOKUP($E18,'2.จัดสรรหลังSK'!$E$4:$T$98,16,FALSE)</f>
        <v>0</v>
      </c>
      <c r="W18" s="93">
        <f>VLOOKUP($E18,'2.จัดสรรหลังSK'!$E$4:$U$98,17,FALSE)</f>
        <v>0</v>
      </c>
      <c r="X18" s="8">
        <f t="shared" si="2"/>
        <v>93462165.600000009</v>
      </c>
      <c r="Y18" s="8">
        <f>VLOOKUP($E18,'2.จัดสรรหลังSK'!$E$4:$W$98,19,FALSE)</f>
        <v>32464321</v>
      </c>
      <c r="Z18" s="93">
        <f t="shared" si="3"/>
        <v>60997844.600000001</v>
      </c>
      <c r="AA18" s="66">
        <v>0</v>
      </c>
      <c r="AB18" s="96">
        <f t="shared" si="4"/>
        <v>60997844.600000001</v>
      </c>
      <c r="AC18" s="8">
        <f>VLOOKUP($E18,'2.จัดสรรหลังSK'!$E$4:$AA$98,23,FALSE)</f>
        <v>51369655.240000002</v>
      </c>
      <c r="AD18" s="8">
        <f>VLOOKUP($E18,'2.จัดสรรหลังSK'!$E$4:$AB$98,24,FALSE)</f>
        <v>48665989.18</v>
      </c>
      <c r="AE18" s="8">
        <f t="shared" si="5"/>
        <v>9628189.3599999994</v>
      </c>
      <c r="AF18" s="8">
        <f t="shared" si="6"/>
        <v>12331855.42</v>
      </c>
      <c r="AG18" s="97" t="str">
        <f t="shared" si="7"/>
        <v>ผ่าน</v>
      </c>
      <c r="AH18" s="8">
        <f t="shared" si="8"/>
        <v>51369655.240000002</v>
      </c>
      <c r="AI18" s="98"/>
      <c r="AJ18" s="8">
        <f t="shared" si="9"/>
        <v>60997844.600000001</v>
      </c>
      <c r="AK18" s="98"/>
      <c r="AL18" s="98"/>
      <c r="AM18" s="8">
        <f t="shared" si="10"/>
        <v>0</v>
      </c>
      <c r="AN18" s="8">
        <f t="shared" si="11"/>
        <v>60997844.600000001</v>
      </c>
      <c r="AO18" s="8">
        <f t="shared" si="12"/>
        <v>60997844.600000001</v>
      </c>
    </row>
    <row r="19" spans="1:41" ht="14.25" customHeight="1" outlineLevel="2">
      <c r="A19" s="92">
        <v>502</v>
      </c>
      <c r="B19" s="60" t="s">
        <v>26</v>
      </c>
      <c r="C19" s="60" t="s">
        <v>27</v>
      </c>
      <c r="D19" s="60" t="s">
        <v>28</v>
      </c>
      <c r="E19" s="60" t="s">
        <v>35</v>
      </c>
      <c r="F19" s="60" t="s">
        <v>36</v>
      </c>
      <c r="G19" s="93">
        <v>1.1499999999999999</v>
      </c>
      <c r="H19" s="71"/>
      <c r="I19" s="65">
        <f t="shared" si="0"/>
        <v>1.1499999999999999</v>
      </c>
      <c r="J19" s="94">
        <f>VLOOKUP($E19,'2.จัดสรรหลังSK'!$E$4:$H$98,4,FALSE)</f>
        <v>53969</v>
      </c>
      <c r="K19" s="8">
        <f>IF($I$1=1,VLOOKUP($E19,'2.จัดสรรหลังSK'!$E$4:$AA$98,5,FALSE),VLOOKUP($E19,Step!$E$5:$AG$99,23,FALSE))</f>
        <v>1220.0870279234375</v>
      </c>
      <c r="L19" s="8">
        <f>IF($I$1=1,VLOOKUP($E19,'2.จัดสรรหลังSK'!$E$4:$AA$98,6,FALSE),VLOOKUP($E19,Step!$E$5:$AG$99,28,FALSE))</f>
        <v>244.80636698845635</v>
      </c>
      <c r="M19" s="95">
        <v>5188.9453999999996</v>
      </c>
      <c r="N19" s="95">
        <v>76.522400000000005</v>
      </c>
      <c r="O19" s="95">
        <v>3.7869999999999999</v>
      </c>
      <c r="P19" s="95">
        <v>0</v>
      </c>
      <c r="Q19" s="93">
        <f t="shared" si="1"/>
        <v>7038.3311424701133</v>
      </c>
      <c r="R19" s="93">
        <f>IF($I$1=1,VLOOKUP($E19,'2.จัดสรรหลังSK'!$E$4:$AA$98,12,FALSE),VLOOKUP($E19,Step!$E$5:$AG$99,24,FALSE))</f>
        <v>65846876.810000002</v>
      </c>
      <c r="S19" s="93">
        <f>IF($I$1=1,VLOOKUP($E19,'2.จัดสรรหลังSK'!$E$4:$AA$98,13,FALSE),VLOOKUP($E19,Step!$E$5:$AG$99,29,FALSE))</f>
        <v>13211954.82</v>
      </c>
      <c r="T19" s="65">
        <f>IF($H$111&lt;&gt;0,ROUND(ROUND(M19*I19,4)*Q19,2),VLOOKUP($E19,'2.จัดสรรหลังSK'!$E$4:$R$98,14,FALSE))</f>
        <v>41999743.329999998</v>
      </c>
      <c r="U19" s="93">
        <f>VLOOKUP($E19,'2.จัดสรรหลังSK'!$E$4:$S$98,15,FALSE)</f>
        <v>734615.04000000004</v>
      </c>
      <c r="V19" s="93">
        <f>VLOOKUP($E19,'2.จัดสรรหลังSK'!$E$4:$T$98,16,FALSE)</f>
        <v>34083</v>
      </c>
      <c r="W19" s="93">
        <f>VLOOKUP($E19,'2.จัดสรรหลังSK'!$E$4:$U$98,17,FALSE)</f>
        <v>0</v>
      </c>
      <c r="X19" s="8">
        <f t="shared" si="2"/>
        <v>121827273</v>
      </c>
      <c r="Y19" s="8">
        <f>VLOOKUP($E19,'2.จัดสรรหลังSK'!$E$4:$W$98,19,FALSE)</f>
        <v>48133371</v>
      </c>
      <c r="Z19" s="93">
        <f t="shared" si="3"/>
        <v>73693902</v>
      </c>
      <c r="AA19" s="66">
        <v>0</v>
      </c>
      <c r="AB19" s="96">
        <f t="shared" si="4"/>
        <v>73693902</v>
      </c>
      <c r="AC19" s="8">
        <f>VLOOKUP($E19,'2.จัดสรรหลังSK'!$E$4:$AA$98,23,FALSE)</f>
        <v>66417823.18</v>
      </c>
      <c r="AD19" s="8">
        <f>VLOOKUP($E19,'2.จัดสรรหลังSK'!$E$4:$AB$98,24,FALSE)</f>
        <v>62922148.270000003</v>
      </c>
      <c r="AE19" s="8">
        <f t="shared" si="5"/>
        <v>7276078.8200000003</v>
      </c>
      <c r="AF19" s="8">
        <f t="shared" si="6"/>
        <v>10771753.73</v>
      </c>
      <c r="AG19" s="97" t="str">
        <f t="shared" si="7"/>
        <v>ผ่าน</v>
      </c>
      <c r="AH19" s="8">
        <f t="shared" si="8"/>
        <v>66417823.18</v>
      </c>
      <c r="AI19" s="98"/>
      <c r="AJ19" s="8">
        <f t="shared" si="9"/>
        <v>73693902</v>
      </c>
      <c r="AK19" s="98"/>
      <c r="AL19" s="98"/>
      <c r="AM19" s="8">
        <f t="shared" si="10"/>
        <v>0</v>
      </c>
      <c r="AN19" s="8">
        <f t="shared" si="11"/>
        <v>73693902</v>
      </c>
      <c r="AO19" s="8">
        <f t="shared" si="12"/>
        <v>73693902</v>
      </c>
    </row>
    <row r="20" spans="1:41" ht="14.25" customHeight="1" outlineLevel="2">
      <c r="A20" s="92">
        <v>503</v>
      </c>
      <c r="B20" s="60" t="s">
        <v>26</v>
      </c>
      <c r="C20" s="60" t="s">
        <v>27</v>
      </c>
      <c r="D20" s="60" t="s">
        <v>28</v>
      </c>
      <c r="E20" s="60" t="s">
        <v>37</v>
      </c>
      <c r="F20" s="60" t="s">
        <v>38</v>
      </c>
      <c r="G20" s="93">
        <v>1.25</v>
      </c>
      <c r="H20" s="71"/>
      <c r="I20" s="65">
        <f t="shared" si="0"/>
        <v>1.25</v>
      </c>
      <c r="J20" s="94">
        <f>VLOOKUP($E20,'2.จัดสรรหลังSK'!$E$4:$H$98,4,FALSE)</f>
        <v>31236</v>
      </c>
      <c r="K20" s="8">
        <f>IF($I$1=1,VLOOKUP($E20,'2.จัดสรรหลังSK'!$E$4:$AA$98,5,FALSE),VLOOKUP($E20,Step!$E$5:$AG$99,23,FALSE))</f>
        <v>1400.8454789345628</v>
      </c>
      <c r="L20" s="8">
        <f>IF($I$1=1,VLOOKUP($E20,'2.จัดสรรหลังSK'!$E$4:$AA$98,6,FALSE),VLOOKUP($E20,Step!$E$5:$AG$99,28,FALSE))</f>
        <v>281.07494333461392</v>
      </c>
      <c r="M20" s="95">
        <v>1959.0965000000001</v>
      </c>
      <c r="N20" s="95">
        <v>50.553899999999999</v>
      </c>
      <c r="O20" s="95">
        <v>0</v>
      </c>
      <c r="P20" s="95">
        <v>0</v>
      </c>
      <c r="Q20" s="93">
        <f t="shared" si="1"/>
        <v>7038.3311424701133</v>
      </c>
      <c r="R20" s="93">
        <f>IF($I$1=1,VLOOKUP($E20,'2.จัดสรรหลังSK'!$E$4:$AA$98,12,FALSE),VLOOKUP($E20,Step!$E$5:$AG$99,24,FALSE))</f>
        <v>43756809.380000003</v>
      </c>
      <c r="S20" s="93">
        <f>IF($I$1=1,VLOOKUP($E20,'2.จัดสรรหลังSK'!$E$4:$AA$98,13,FALSE),VLOOKUP($E20,Step!$E$5:$AG$99,29,FALSE))</f>
        <v>8779656.9299999997</v>
      </c>
      <c r="T20" s="65">
        <f>IF($H$111&lt;&gt;0,ROUND(ROUND(M20*I20,4)*Q20,2),VLOOKUP($E20,'2.จัดสรรหลังSK'!$E$4:$R$98,14,FALSE))</f>
        <v>17235962.199999999</v>
      </c>
      <c r="U20" s="93">
        <f>VLOOKUP($E20,'2.จัดสรรหลังSK'!$E$4:$S$98,15,FALSE)</f>
        <v>485317.44</v>
      </c>
      <c r="V20" s="93">
        <f>VLOOKUP($E20,'2.จัดสรรหลังSK'!$E$4:$T$98,16,FALSE)</f>
        <v>0</v>
      </c>
      <c r="W20" s="93">
        <f>VLOOKUP($E20,'2.จัดสรรหลังSK'!$E$4:$U$98,17,FALSE)</f>
        <v>0</v>
      </c>
      <c r="X20" s="8">
        <f t="shared" si="2"/>
        <v>70257745.950000003</v>
      </c>
      <c r="Y20" s="8">
        <f>VLOOKUP($E20,'2.จัดสรรหลังSK'!$E$4:$W$98,19,FALSE)</f>
        <v>27864419</v>
      </c>
      <c r="Z20" s="93">
        <f t="shared" si="3"/>
        <v>42393326.950000003</v>
      </c>
      <c r="AA20" s="66">
        <v>0</v>
      </c>
      <c r="AB20" s="96">
        <f t="shared" si="4"/>
        <v>42393326.950000003</v>
      </c>
      <c r="AC20" s="8">
        <f>VLOOKUP($E20,'2.จัดสรรหลังSK'!$E$4:$AA$98,23,FALSE)</f>
        <v>33769061.170000002</v>
      </c>
      <c r="AD20" s="8">
        <f>VLOOKUP($E20,'2.จัดสรรหลังSK'!$E$4:$AB$98,24,FALSE)</f>
        <v>31991742.16</v>
      </c>
      <c r="AE20" s="8">
        <f t="shared" si="5"/>
        <v>8624265.7799999993</v>
      </c>
      <c r="AF20" s="8">
        <f t="shared" si="6"/>
        <v>10401584.789999999</v>
      </c>
      <c r="AG20" s="97" t="str">
        <f t="shared" si="7"/>
        <v>ผ่าน</v>
      </c>
      <c r="AH20" s="8">
        <f t="shared" si="8"/>
        <v>33769061.170000002</v>
      </c>
      <c r="AI20" s="98"/>
      <c r="AJ20" s="8">
        <f t="shared" si="9"/>
        <v>42393326.950000003</v>
      </c>
      <c r="AK20" s="98"/>
      <c r="AL20" s="98"/>
      <c r="AM20" s="8">
        <f t="shared" si="10"/>
        <v>0</v>
      </c>
      <c r="AN20" s="8">
        <f t="shared" si="11"/>
        <v>42393326.950000003</v>
      </c>
      <c r="AO20" s="8">
        <f t="shared" si="12"/>
        <v>42393326.950000003</v>
      </c>
    </row>
    <row r="21" spans="1:41" ht="14.25" customHeight="1" outlineLevel="2">
      <c r="A21" s="92">
        <v>504</v>
      </c>
      <c r="B21" s="60" t="s">
        <v>26</v>
      </c>
      <c r="C21" s="60" t="s">
        <v>27</v>
      </c>
      <c r="D21" s="60" t="s">
        <v>28</v>
      </c>
      <c r="E21" s="60" t="s">
        <v>39</v>
      </c>
      <c r="F21" s="60" t="s">
        <v>40</v>
      </c>
      <c r="G21" s="93">
        <v>1.25</v>
      </c>
      <c r="H21" s="71"/>
      <c r="I21" s="65">
        <f t="shared" si="0"/>
        <v>1.25</v>
      </c>
      <c r="J21" s="94">
        <f>VLOOKUP($E21,'2.จัดสรรหลังSK'!$E$4:$H$98,4,FALSE)</f>
        <v>31262</v>
      </c>
      <c r="K21" s="8">
        <f>IF($I$1=1,VLOOKUP($E21,'2.จัดสรรหลังSK'!$E$4:$AA$98,5,FALSE),VLOOKUP($E21,Step!$E$5:$AG$99,23,FALSE))</f>
        <v>1400.5454635020153</v>
      </c>
      <c r="L21" s="8">
        <f>IF($I$1=1,VLOOKUP($E21,'2.จัดสรรหลังSK'!$E$4:$AA$98,6,FALSE),VLOOKUP($E21,Step!$E$5:$AG$99,28,FALSE))</f>
        <v>281.01474633740645</v>
      </c>
      <c r="M21" s="95">
        <v>2274.6538999999998</v>
      </c>
      <c r="N21" s="95">
        <v>49.365699999999997</v>
      </c>
      <c r="O21" s="95">
        <v>0</v>
      </c>
      <c r="P21" s="95">
        <v>0</v>
      </c>
      <c r="Q21" s="93">
        <f t="shared" si="1"/>
        <v>7038.3311424701133</v>
      </c>
      <c r="R21" s="93">
        <f>IF($I$1=1,VLOOKUP($E21,'2.จัดสรรหลังSK'!$E$4:$AA$98,12,FALSE),VLOOKUP($E21,Step!$E$5:$AG$99,24,FALSE))</f>
        <v>43783852.280000001</v>
      </c>
      <c r="S21" s="93">
        <f>IF($I$1=1,VLOOKUP($E21,'2.จัดสรรหลังSK'!$E$4:$AA$98,13,FALSE),VLOOKUP($E21,Step!$E$5:$AG$99,29,FALSE))</f>
        <v>8785083</v>
      </c>
      <c r="T21" s="65">
        <f>IF($H$111&lt;&gt;0,ROUND(ROUND(M21*I21,4)*Q21,2),VLOOKUP($E21,'2.จัดสรรหลังSK'!$E$4:$R$98,14,FALSE))</f>
        <v>20012209.399999999</v>
      </c>
      <c r="U21" s="93">
        <f>VLOOKUP($E21,'2.จัดสรรหลังSK'!$E$4:$S$98,15,FALSE)</f>
        <v>473910.72</v>
      </c>
      <c r="V21" s="93">
        <f>VLOOKUP($E21,'2.จัดสรรหลังSK'!$E$4:$T$98,16,FALSE)</f>
        <v>0</v>
      </c>
      <c r="W21" s="93">
        <f>VLOOKUP($E21,'2.จัดสรรหลังSK'!$E$4:$U$98,17,FALSE)</f>
        <v>0</v>
      </c>
      <c r="X21" s="8">
        <f t="shared" si="2"/>
        <v>73055055.400000006</v>
      </c>
      <c r="Y21" s="8">
        <f>VLOOKUP($E21,'2.จัดสรรหลังSK'!$E$4:$W$98,19,FALSE)</f>
        <v>26086757</v>
      </c>
      <c r="Z21" s="93">
        <f t="shared" si="3"/>
        <v>46968298.399999999</v>
      </c>
      <c r="AA21" s="66">
        <v>0</v>
      </c>
      <c r="AB21" s="96">
        <f t="shared" si="4"/>
        <v>46968298.399999999</v>
      </c>
      <c r="AC21" s="8">
        <f>VLOOKUP($E21,'2.จัดสรรหลังSK'!$E$4:$AA$98,23,FALSE)</f>
        <v>41823960.869999997</v>
      </c>
      <c r="AD21" s="8">
        <f>VLOOKUP($E21,'2.จัดสรรหลังSK'!$E$4:$AB$98,24,FALSE)</f>
        <v>39622699.770000003</v>
      </c>
      <c r="AE21" s="8">
        <f t="shared" si="5"/>
        <v>5144337.53</v>
      </c>
      <c r="AF21" s="8">
        <f t="shared" si="6"/>
        <v>7345598.6299999999</v>
      </c>
      <c r="AG21" s="97" t="str">
        <f t="shared" si="7"/>
        <v>ผ่าน</v>
      </c>
      <c r="AH21" s="8">
        <f t="shared" si="8"/>
        <v>41823960.869999997</v>
      </c>
      <c r="AI21" s="98"/>
      <c r="AJ21" s="8">
        <f t="shared" si="9"/>
        <v>46968298.399999999</v>
      </c>
      <c r="AK21" s="98"/>
      <c r="AL21" s="98"/>
      <c r="AM21" s="8">
        <f t="shared" si="10"/>
        <v>0</v>
      </c>
      <c r="AN21" s="8">
        <f t="shared" si="11"/>
        <v>46968298.399999999</v>
      </c>
      <c r="AO21" s="8">
        <f t="shared" si="12"/>
        <v>46968298.399999999</v>
      </c>
    </row>
    <row r="22" spans="1:41" ht="14.25" customHeight="1" outlineLevel="2">
      <c r="A22" s="92">
        <v>505</v>
      </c>
      <c r="B22" s="60" t="s">
        <v>26</v>
      </c>
      <c r="C22" s="60" t="s">
        <v>27</v>
      </c>
      <c r="D22" s="60" t="s">
        <v>28</v>
      </c>
      <c r="E22" s="60" t="s">
        <v>41</v>
      </c>
      <c r="F22" s="60" t="s">
        <v>42</v>
      </c>
      <c r="G22" s="93">
        <v>1.25</v>
      </c>
      <c r="H22" s="71"/>
      <c r="I22" s="65">
        <f t="shared" si="0"/>
        <v>1.25</v>
      </c>
      <c r="J22" s="94">
        <f>VLOOKUP($E22,'2.จัดสรรหลังSK'!$E$4:$H$98,4,FALSE)</f>
        <v>32117</v>
      </c>
      <c r="K22" s="8">
        <f>IF($I$1=1,VLOOKUP($E22,'2.จัดสรรหลังSK'!$E$4:$AA$98,5,FALSE),VLOOKUP($E22,Step!$E$5:$AG$99,23,FALSE))</f>
        <v>1390.950208923623</v>
      </c>
      <c r="L22" s="8">
        <f>IF($I$1=1,VLOOKUP($E22,'2.จัดสรรหลังSK'!$E$4:$AA$98,6,FALSE),VLOOKUP($E22,Step!$E$5:$AG$99,28,FALSE))</f>
        <v>279.08949061244823</v>
      </c>
      <c r="M22" s="95">
        <v>1504.6258</v>
      </c>
      <c r="N22" s="95">
        <v>23.980499999999999</v>
      </c>
      <c r="O22" s="95">
        <v>0</v>
      </c>
      <c r="P22" s="95">
        <v>0</v>
      </c>
      <c r="Q22" s="93">
        <f t="shared" si="1"/>
        <v>7038.3311424701133</v>
      </c>
      <c r="R22" s="93">
        <f>IF($I$1=1,VLOOKUP($E22,'2.จัดสรรหลังSK'!$E$4:$AA$98,12,FALSE),VLOOKUP($E22,Step!$E$5:$AG$99,24,FALSE))</f>
        <v>44673147.859999999</v>
      </c>
      <c r="S22" s="93">
        <f>IF($I$1=1,VLOOKUP($E22,'2.จัดสรรหลังSK'!$E$4:$AA$98,13,FALSE),VLOOKUP($E22,Step!$E$5:$AG$99,29,FALSE))</f>
        <v>8963517.1699999999</v>
      </c>
      <c r="T22" s="65">
        <f>IF($H$111&lt;&gt;0,ROUND(ROUND(M22*I22,4)*Q22,2),VLOOKUP($E22,'2.จัดสรรหลังSK'!$E$4:$R$98,14,FALSE))</f>
        <v>13237568.630000001</v>
      </c>
      <c r="U22" s="93">
        <f>VLOOKUP($E22,'2.จัดสรรหลังSK'!$E$4:$S$98,15,FALSE)</f>
        <v>230212.8</v>
      </c>
      <c r="V22" s="93">
        <f>VLOOKUP($E22,'2.จัดสรรหลังSK'!$E$4:$T$98,16,FALSE)</f>
        <v>0</v>
      </c>
      <c r="W22" s="93">
        <f>VLOOKUP($E22,'2.จัดสรรหลังSK'!$E$4:$U$98,17,FALSE)</f>
        <v>0</v>
      </c>
      <c r="X22" s="8">
        <f t="shared" si="2"/>
        <v>67104446.460000001</v>
      </c>
      <c r="Y22" s="8">
        <f>VLOOKUP($E22,'2.จัดสรรหลังSK'!$E$4:$W$98,19,FALSE)</f>
        <v>26571048</v>
      </c>
      <c r="Z22" s="93">
        <f t="shared" si="3"/>
        <v>40533398.460000001</v>
      </c>
      <c r="AA22" s="66">
        <v>0</v>
      </c>
      <c r="AB22" s="96">
        <f t="shared" si="4"/>
        <v>40533398.460000001</v>
      </c>
      <c r="AC22" s="8">
        <f>VLOOKUP($E22,'2.จัดสรรหลังSK'!$E$4:$AA$98,23,FALSE)</f>
        <v>36951909.200000003</v>
      </c>
      <c r="AD22" s="8">
        <f>VLOOKUP($E22,'2.จัดสรรหลังSK'!$E$4:$AB$98,24,FALSE)</f>
        <v>35007071.880000003</v>
      </c>
      <c r="AE22" s="8">
        <f t="shared" si="5"/>
        <v>3581489.26</v>
      </c>
      <c r="AF22" s="8">
        <f t="shared" si="6"/>
        <v>5526326.5800000001</v>
      </c>
      <c r="AG22" s="97" t="str">
        <f t="shared" si="7"/>
        <v>ผ่าน</v>
      </c>
      <c r="AH22" s="8">
        <f t="shared" si="8"/>
        <v>36951909.200000003</v>
      </c>
      <c r="AI22" s="98"/>
      <c r="AJ22" s="8">
        <f t="shared" si="9"/>
        <v>40533398.460000001</v>
      </c>
      <c r="AK22" s="98"/>
      <c r="AL22" s="98"/>
      <c r="AM22" s="8">
        <f t="shared" si="10"/>
        <v>0</v>
      </c>
      <c r="AN22" s="8">
        <f t="shared" si="11"/>
        <v>40533398.460000001</v>
      </c>
      <c r="AO22" s="8">
        <f t="shared" si="12"/>
        <v>40533398.460000001</v>
      </c>
    </row>
    <row r="23" spans="1:41" ht="14.25" customHeight="1" outlineLevel="2">
      <c r="A23" s="92">
        <v>506</v>
      </c>
      <c r="B23" s="104" t="s">
        <v>26</v>
      </c>
      <c r="C23" s="60" t="s">
        <v>27</v>
      </c>
      <c r="D23" s="104" t="s">
        <v>28</v>
      </c>
      <c r="E23" s="104" t="s">
        <v>43</v>
      </c>
      <c r="F23" s="104" t="s">
        <v>44</v>
      </c>
      <c r="G23" s="93">
        <v>1.35</v>
      </c>
      <c r="H23" s="106"/>
      <c r="I23" s="65">
        <f t="shared" si="0"/>
        <v>1.35</v>
      </c>
      <c r="J23" s="94">
        <f>VLOOKUP($E23,'2.จัดสรรหลังSK'!$E$4:$H$98,4,FALSE)</f>
        <v>11378</v>
      </c>
      <c r="K23" s="8">
        <f>IF($I$1=1,VLOOKUP($E23,'2.จัดสรรหลังSK'!$E$4:$AA$98,5,FALSE),VLOOKUP($E23,Step!$E$5:$AG$99,23,FALSE))</f>
        <v>1615.3514361047637</v>
      </c>
      <c r="L23" s="8">
        <f>IF($I$1=1,VLOOKUP($E23,'2.จัดสรรหลังSK'!$E$4:$AA$98,6,FALSE),VLOOKUP($E23,Step!$E$5:$AG$99,28,FALSE))</f>
        <v>324.1148444366321</v>
      </c>
      <c r="M23" s="95">
        <v>691.48199999999997</v>
      </c>
      <c r="N23" s="95">
        <v>14.2354</v>
      </c>
      <c r="O23" s="95">
        <v>0</v>
      </c>
      <c r="P23" s="95">
        <v>0</v>
      </c>
      <c r="Q23" s="93">
        <f t="shared" si="1"/>
        <v>7038.3311424701133</v>
      </c>
      <c r="R23" s="93">
        <f>IF($I$1=1,VLOOKUP($E23,'2.จัดสรรหลังSK'!$E$4:$AA$98,12,FALSE),VLOOKUP($E23,Step!$E$5:$AG$99,24,FALSE))</f>
        <v>18379468.640000001</v>
      </c>
      <c r="S23" s="93">
        <f>IF($I$1=1,VLOOKUP($E23,'2.จัดสรรหลังSK'!$E$4:$AA$98,13,FALSE),VLOOKUP($E23,Step!$E$5:$AG$99,29,FALSE))</f>
        <v>3687778.7</v>
      </c>
      <c r="T23" s="65">
        <f>IF($H$111&lt;&gt;0,ROUND(ROUND(M23*I23,4)*Q23,2),VLOOKUP($E23,'2.จัดสรรหลังSK'!$E$4:$R$98,14,FALSE))</f>
        <v>6570287.0499999998</v>
      </c>
      <c r="U23" s="93">
        <f>VLOOKUP($E23,'2.จัดสรรหลังSK'!$E$4:$S$98,15,FALSE)</f>
        <v>136659.84</v>
      </c>
      <c r="V23" s="93">
        <f>VLOOKUP($E23,'2.จัดสรรหลังSK'!$E$4:$T$98,16,FALSE)</f>
        <v>0</v>
      </c>
      <c r="W23" s="93">
        <f>VLOOKUP($E23,'2.จัดสรรหลังSK'!$E$4:$U$98,17,FALSE)</f>
        <v>0</v>
      </c>
      <c r="X23" s="8">
        <f t="shared" si="2"/>
        <v>28774194.23</v>
      </c>
      <c r="Y23" s="8">
        <f>VLOOKUP($E23,'2.จัดสรรหลังSK'!$E$4:$W$98,19,FALSE)</f>
        <v>14468933</v>
      </c>
      <c r="Z23" s="93">
        <f t="shared" si="3"/>
        <v>14305261.23</v>
      </c>
      <c r="AA23" s="66">
        <v>3412126.06</v>
      </c>
      <c r="AB23" s="96">
        <f t="shared" si="4"/>
        <v>17717387.289999999</v>
      </c>
      <c r="AC23" s="8">
        <f>VLOOKUP($E23,'2.จัดสรรหลังSK'!$E$4:$AA$98,23,FALSE)</f>
        <v>17717387.289999999</v>
      </c>
      <c r="AD23" s="8">
        <f>VLOOKUP($E23,'2.จัดสรรหลังSK'!$E$4:$AB$98,24,FALSE)</f>
        <v>16784893.219999999</v>
      </c>
      <c r="AE23" s="8">
        <f t="shared" si="5"/>
        <v>0</v>
      </c>
      <c r="AF23" s="8">
        <f t="shared" si="6"/>
        <v>932494.07</v>
      </c>
      <c r="AG23" s="97" t="str">
        <f t="shared" si="7"/>
        <v>ผ่าน</v>
      </c>
      <c r="AH23" s="8">
        <f t="shared" ref="AH23:AH29" si="13">IF(AND(AB23&gt;AD23,AB23&lt;AC23),AB23,AC23)</f>
        <v>17717387.289999999</v>
      </c>
      <c r="AI23" s="112"/>
      <c r="AJ23" s="8">
        <f t="shared" si="9"/>
        <v>17717387.289999999</v>
      </c>
      <c r="AK23" s="112"/>
      <c r="AL23" s="112"/>
      <c r="AM23" s="8">
        <f t="shared" si="10"/>
        <v>0</v>
      </c>
      <c r="AN23" s="8">
        <f t="shared" si="11"/>
        <v>17717387.289999999</v>
      </c>
      <c r="AO23" s="8">
        <f t="shared" si="12"/>
        <v>17717387.289999999</v>
      </c>
    </row>
    <row r="24" spans="1:41" ht="14.25" customHeight="1" outlineLevel="1">
      <c r="A24" s="172"/>
      <c r="B24" s="173"/>
      <c r="C24" s="104"/>
      <c r="D24" s="174" t="s">
        <v>263</v>
      </c>
      <c r="E24" s="173"/>
      <c r="F24" s="173"/>
      <c r="G24" s="175"/>
      <c r="H24" s="176"/>
      <c r="I24" s="177"/>
      <c r="J24" s="178">
        <f t="shared" ref="J24:AF24" si="14">SUBTOTAL(9,J16:J23)</f>
        <v>328129</v>
      </c>
      <c r="K24" s="179">
        <f t="shared" si="14"/>
        <v>10689.706006080705</v>
      </c>
      <c r="L24" s="179">
        <f t="shared" si="14"/>
        <v>2144.8536308411403</v>
      </c>
      <c r="M24" s="180">
        <f t="shared" si="14"/>
        <v>32900.746899999998</v>
      </c>
      <c r="N24" s="180">
        <f t="shared" si="14"/>
        <v>733.59119999999996</v>
      </c>
      <c r="O24" s="180">
        <f t="shared" si="14"/>
        <v>393.76389999999998</v>
      </c>
      <c r="P24" s="180">
        <f t="shared" si="14"/>
        <v>7.9749999999999996</v>
      </c>
      <c r="Q24" s="175">
        <f t="shared" si="14"/>
        <v>56306.649139760892</v>
      </c>
      <c r="R24" s="175">
        <f t="shared" si="14"/>
        <v>417904217.06000006</v>
      </c>
      <c r="S24" s="175">
        <f t="shared" si="14"/>
        <v>83851078.469999999</v>
      </c>
      <c r="T24" s="177">
        <f t="shared" si="14"/>
        <v>271985718.46999997</v>
      </c>
      <c r="U24" s="175">
        <f t="shared" si="14"/>
        <v>7042475.5200000005</v>
      </c>
      <c r="V24" s="175">
        <f t="shared" si="14"/>
        <v>3543875.1</v>
      </c>
      <c r="W24" s="175">
        <f t="shared" si="14"/>
        <v>95700</v>
      </c>
      <c r="X24" s="179">
        <f t="shared" si="14"/>
        <v>784423064.62000012</v>
      </c>
      <c r="Y24" s="179">
        <f t="shared" si="14"/>
        <v>305395300</v>
      </c>
      <c r="Z24" s="175">
        <f t="shared" si="14"/>
        <v>479027764.62</v>
      </c>
      <c r="AA24" s="181">
        <f t="shared" si="14"/>
        <v>3412126.06</v>
      </c>
      <c r="AB24" s="182">
        <f t="shared" si="14"/>
        <v>482439890.68000001</v>
      </c>
      <c r="AC24" s="179">
        <f t="shared" si="14"/>
        <v>416014081.76000005</v>
      </c>
      <c r="AD24" s="179">
        <f t="shared" si="14"/>
        <v>394118603.76999998</v>
      </c>
      <c r="AE24" s="179">
        <f t="shared" si="14"/>
        <v>66425808.920000002</v>
      </c>
      <c r="AF24" s="179">
        <f t="shared" si="14"/>
        <v>88321286.909999982</v>
      </c>
      <c r="AG24" s="183"/>
      <c r="AH24" s="179">
        <f t="shared" ref="AH24:AO24" si="15">SUBTOTAL(9,AH16:AH23)</f>
        <v>416014081.76000005</v>
      </c>
      <c r="AI24" s="184">
        <f t="shared" si="15"/>
        <v>0</v>
      </c>
      <c r="AJ24" s="179">
        <f t="shared" si="15"/>
        <v>482439890.68000001</v>
      </c>
      <c r="AK24" s="184">
        <f t="shared" si="15"/>
        <v>0</v>
      </c>
      <c r="AL24" s="184">
        <f t="shared" si="15"/>
        <v>0</v>
      </c>
      <c r="AM24" s="179">
        <f t="shared" si="15"/>
        <v>0</v>
      </c>
      <c r="AN24" s="179">
        <f t="shared" si="15"/>
        <v>482439890.68000001</v>
      </c>
      <c r="AO24" s="179">
        <f t="shared" si="15"/>
        <v>482439890.68000001</v>
      </c>
    </row>
    <row r="25" spans="1:41" ht="14.25" customHeight="1" outlineLevel="2">
      <c r="A25" s="157">
        <v>507</v>
      </c>
      <c r="B25" s="104" t="s">
        <v>26</v>
      </c>
      <c r="C25" s="104" t="s">
        <v>45</v>
      </c>
      <c r="D25" s="104" t="s">
        <v>46</v>
      </c>
      <c r="E25" s="104" t="s">
        <v>47</v>
      </c>
      <c r="F25" s="104" t="s">
        <v>48</v>
      </c>
      <c r="G25" s="105">
        <v>1.1000000000000001</v>
      </c>
      <c r="H25" s="106"/>
      <c r="I25" s="107">
        <f t="shared" si="0"/>
        <v>1.1000000000000001</v>
      </c>
      <c r="J25" s="158">
        <f>VLOOKUP($E25,'2.จัดสรรหลังSK'!$E$4:$H$98,4,FALSE)</f>
        <v>101244</v>
      </c>
      <c r="K25" s="108">
        <f>IF($I$1=1,VLOOKUP($E25,'2.จัดสรรหลังSK'!$E$4:$AA$98,5,FALSE),VLOOKUP($E25,Step!$E$5:$AG$99,23,FALSE))</f>
        <v>1082.8916963968236</v>
      </c>
      <c r="L25" s="108">
        <f>IF($I$1=1,VLOOKUP($E25,'2.จัดสรรหลังSK'!$E$4:$AA$98,6,FALSE),VLOOKUP($E25,Step!$E$5:$AG$99,28,FALSE))</f>
        <v>209.40828671328669</v>
      </c>
      <c r="M25" s="109">
        <v>22667</v>
      </c>
      <c r="N25" s="109">
        <v>595.24159999999995</v>
      </c>
      <c r="O25" s="109">
        <v>817.36379999999986</v>
      </c>
      <c r="P25" s="109">
        <v>35.215299999999999</v>
      </c>
      <c r="Q25" s="105">
        <f t="shared" si="1"/>
        <v>7038.3311424701133</v>
      </c>
      <c r="R25" s="105">
        <f>IF($I$1=1,VLOOKUP($E25,'2.จัดสรรหลังSK'!$E$4:$AA$98,12,FALSE),VLOOKUP($E25,Step!$E$5:$AG$99,24,FALSE))</f>
        <v>109636286.91</v>
      </c>
      <c r="S25" s="105">
        <f>IF($I$1=1,VLOOKUP($E25,'2.จัดสรรหลังSK'!$E$4:$AA$98,13,FALSE),VLOOKUP($E25,Step!$E$5:$AG$99,29,FALSE))</f>
        <v>21201332.579999998</v>
      </c>
      <c r="T25" s="65">
        <f>IF($H$111&lt;&gt;0,ROUND(ROUND(M25*I25,4)*Q25,2),VLOOKUP($E25,'2.จัดสรรหลังSK'!$E$4:$R$98,14,FALSE))</f>
        <v>175491637.16</v>
      </c>
      <c r="U25" s="105">
        <f>VLOOKUP($E25,'2.จัดสรรหลังSK'!$E$4:$S$98,15,FALSE)</f>
        <v>5714319.3600000003</v>
      </c>
      <c r="V25" s="105">
        <f>VLOOKUP($E25,'2.จัดสรรหลังSK'!$E$4:$T$98,16,FALSE)</f>
        <v>7356274.2000000002</v>
      </c>
      <c r="W25" s="105">
        <f>VLOOKUP($E25,'2.จัดสรรหลังSK'!$E$4:$U$98,17,FALSE)</f>
        <v>422583.6</v>
      </c>
      <c r="X25" s="108">
        <f t="shared" si="2"/>
        <v>319822433.81</v>
      </c>
      <c r="Y25" s="108">
        <f>VLOOKUP($E25,'2.จัดสรรหลังSK'!$E$4:$W$98,19,FALSE)</f>
        <v>167124155</v>
      </c>
      <c r="Z25" s="105">
        <f t="shared" si="3"/>
        <v>152698278.81</v>
      </c>
      <c r="AA25" s="110">
        <v>0</v>
      </c>
      <c r="AB25" s="111">
        <f t="shared" si="4"/>
        <v>152698278.81</v>
      </c>
      <c r="AC25" s="108">
        <f>VLOOKUP($E25,'2.จัดสรรหลังSK'!$E$4:$AA$98,23,FALSE)</f>
        <v>141294727.50999999</v>
      </c>
      <c r="AD25" s="108">
        <f>VLOOKUP($E25,'2.จัดสรรหลังSK'!$E$4:$AB$98,24,FALSE)</f>
        <v>133858162.91</v>
      </c>
      <c r="AE25" s="108">
        <f t="shared" si="5"/>
        <v>11403551.300000001</v>
      </c>
      <c r="AF25" s="108">
        <f t="shared" si="6"/>
        <v>18840115.899999999</v>
      </c>
      <c r="AG25" s="159" t="str">
        <f t="shared" si="7"/>
        <v>ผ่าน</v>
      </c>
      <c r="AH25" s="108">
        <f t="shared" si="13"/>
        <v>141294727.50999999</v>
      </c>
      <c r="AI25" s="112"/>
      <c r="AJ25" s="108">
        <f t="shared" si="9"/>
        <v>152698278.81</v>
      </c>
      <c r="AK25" s="112"/>
      <c r="AL25" s="112"/>
      <c r="AM25" s="108">
        <f t="shared" si="10"/>
        <v>0</v>
      </c>
      <c r="AN25" s="108">
        <f t="shared" si="11"/>
        <v>152698278.81</v>
      </c>
      <c r="AO25" s="108">
        <f t="shared" si="12"/>
        <v>152698278.81</v>
      </c>
    </row>
    <row r="26" spans="1:41" ht="14.25" customHeight="1" outlineLevel="2">
      <c r="A26" s="92">
        <v>508</v>
      </c>
      <c r="B26" s="60" t="s">
        <v>26</v>
      </c>
      <c r="C26" s="60" t="s">
        <v>45</v>
      </c>
      <c r="D26" s="60" t="s">
        <v>46</v>
      </c>
      <c r="E26" s="60" t="s">
        <v>49</v>
      </c>
      <c r="F26" s="60" t="s">
        <v>50</v>
      </c>
      <c r="G26" s="93">
        <v>1.1000000000000001</v>
      </c>
      <c r="H26" s="71"/>
      <c r="I26" s="65">
        <f t="shared" si="0"/>
        <v>1.1000000000000001</v>
      </c>
      <c r="J26" s="94">
        <f>VLOOKUP($E26,'2.จัดสรรหลังSK'!$E$4:$H$98,4,FALSE)</f>
        <v>69632</v>
      </c>
      <c r="K26" s="8">
        <f>IF($I$1=1,VLOOKUP($E26,'2.จัดสรรหลังSK'!$E$4:$AA$98,5,FALSE),VLOOKUP($E26,Step!$E$5:$AG$99,23,FALSE))</f>
        <v>1189.833367991728</v>
      </c>
      <c r="L26" s="8">
        <f>IF($I$1=1,VLOOKUP($E26,'2.จัดสรรหลังSK'!$E$4:$AA$98,6,FALSE),VLOOKUP($E26,Step!$E$5:$AG$99,28,FALSE))</f>
        <v>230.08853802849265</v>
      </c>
      <c r="M26" s="95">
        <v>3318.1509999999998</v>
      </c>
      <c r="N26" s="95">
        <v>94.749399999999994</v>
      </c>
      <c r="O26" s="95">
        <v>0</v>
      </c>
      <c r="P26" s="95">
        <v>0</v>
      </c>
      <c r="Q26" s="93">
        <f t="shared" si="1"/>
        <v>7038.3311424701133</v>
      </c>
      <c r="R26" s="93">
        <f>IF($I$1=1,VLOOKUP($E26,'2.จัดสรรหลังSK'!$E$4:$AA$98,12,FALSE),VLOOKUP($E26,Step!$E$5:$AG$99,24,FALSE))</f>
        <v>82850477.079999998</v>
      </c>
      <c r="S26" s="93">
        <f>IF($I$1=1,VLOOKUP($E26,'2.จัดสรรหลังSK'!$E$4:$AA$98,13,FALSE),VLOOKUP($E26,Step!$E$5:$AG$99,29,FALSE))</f>
        <v>16021525.08</v>
      </c>
      <c r="T26" s="65">
        <f>IF($H$111&lt;&gt;0,ROUND(ROUND(M26*I26,4)*Q26,2),VLOOKUP($E26,'2.จัดสรรหลังSK'!$E$4:$R$98,14,FALSE))</f>
        <v>25689670.059999999</v>
      </c>
      <c r="U26" s="93">
        <f>VLOOKUP($E26,'2.จัดสรรหลังSK'!$E$4:$S$98,15,FALSE)</f>
        <v>909594.24</v>
      </c>
      <c r="V26" s="93">
        <f>VLOOKUP($E26,'2.จัดสรรหลังSK'!$E$4:$T$98,16,FALSE)</f>
        <v>0</v>
      </c>
      <c r="W26" s="93">
        <f>VLOOKUP($E26,'2.จัดสรรหลังSK'!$E$4:$U$98,17,FALSE)</f>
        <v>0</v>
      </c>
      <c r="X26" s="8">
        <f t="shared" si="2"/>
        <v>125471266.45999999</v>
      </c>
      <c r="Y26" s="8">
        <f>VLOOKUP($E26,'2.จัดสรรหลังSK'!$E$4:$W$98,19,FALSE)</f>
        <v>50080373</v>
      </c>
      <c r="Z26" s="93">
        <f t="shared" si="3"/>
        <v>75390893.459999993</v>
      </c>
      <c r="AA26" s="66">
        <v>0</v>
      </c>
      <c r="AB26" s="96">
        <f t="shared" si="4"/>
        <v>75390893.459999993</v>
      </c>
      <c r="AC26" s="8">
        <f>VLOOKUP($E26,'2.จัดสรรหลังSK'!$E$4:$AA$98,23,FALSE)</f>
        <v>61157984.479999997</v>
      </c>
      <c r="AD26" s="8">
        <f>VLOOKUP($E26,'2.จัดสรรหลังSK'!$E$4:$AB$98,24,FALSE)</f>
        <v>57939143.189999998</v>
      </c>
      <c r="AE26" s="8">
        <f t="shared" si="5"/>
        <v>14232908.98</v>
      </c>
      <c r="AF26" s="8">
        <f t="shared" si="6"/>
        <v>17451750.27</v>
      </c>
      <c r="AG26" s="97" t="str">
        <f t="shared" si="7"/>
        <v>ผ่าน</v>
      </c>
      <c r="AH26" s="8">
        <f t="shared" si="13"/>
        <v>61157984.479999997</v>
      </c>
      <c r="AI26" s="98"/>
      <c r="AJ26" s="8">
        <f t="shared" si="9"/>
        <v>75390893.459999993</v>
      </c>
      <c r="AK26" s="98"/>
      <c r="AL26" s="98"/>
      <c r="AM26" s="8">
        <f t="shared" si="10"/>
        <v>0</v>
      </c>
      <c r="AN26" s="8">
        <f t="shared" si="11"/>
        <v>75390893.459999993</v>
      </c>
      <c r="AO26" s="8">
        <f t="shared" si="12"/>
        <v>75390893.459999993</v>
      </c>
    </row>
    <row r="27" spans="1:41" ht="14.25" customHeight="1" outlineLevel="2">
      <c r="A27" s="92">
        <v>509</v>
      </c>
      <c r="B27" s="60" t="s">
        <v>26</v>
      </c>
      <c r="C27" s="60" t="s">
        <v>45</v>
      </c>
      <c r="D27" s="60" t="s">
        <v>46</v>
      </c>
      <c r="E27" s="60" t="s">
        <v>51</v>
      </c>
      <c r="F27" s="60" t="s">
        <v>52</v>
      </c>
      <c r="G27" s="93">
        <v>1.2</v>
      </c>
      <c r="H27" s="71"/>
      <c r="I27" s="65">
        <f t="shared" si="0"/>
        <v>1.2</v>
      </c>
      <c r="J27" s="94">
        <f>VLOOKUP($E27,'2.จัดสรรหลังSK'!$E$4:$H$98,4,FALSE)</f>
        <v>47426</v>
      </c>
      <c r="K27" s="8">
        <f>IF($I$1=1,VLOOKUP($E27,'2.จัดสรรหลังSK'!$E$4:$AA$98,5,FALSE),VLOOKUP($E27,Step!$E$5:$AG$99,23,FALSE))</f>
        <v>1325.6501438029773</v>
      </c>
      <c r="L27" s="8">
        <f>IF($I$1=1,VLOOKUP($E27,'2.จัดสรรหลังSK'!$E$4:$AA$98,6,FALSE),VLOOKUP($E27,Step!$E$5:$AG$99,28,FALSE))</f>
        <v>256.35262176865012</v>
      </c>
      <c r="M27" s="95">
        <v>1847.4011</v>
      </c>
      <c r="N27" s="95">
        <v>44.162300000000002</v>
      </c>
      <c r="O27" s="95">
        <v>0</v>
      </c>
      <c r="P27" s="95">
        <v>0</v>
      </c>
      <c r="Q27" s="93">
        <f t="shared" si="1"/>
        <v>7038.3311424701133</v>
      </c>
      <c r="R27" s="93">
        <f>IF($I$1=1,VLOOKUP($E27,'2.จัดสรรหลังSK'!$E$4:$AA$98,12,FALSE),VLOOKUP($E27,Step!$E$5:$AG$99,24,FALSE))</f>
        <v>62870283.719999999</v>
      </c>
      <c r="S27" s="93">
        <f>IF($I$1=1,VLOOKUP($E27,'2.จัดสรรหลังSK'!$E$4:$AA$98,13,FALSE),VLOOKUP($E27,Step!$E$5:$AG$99,29,FALSE))</f>
        <v>12157779.439999999</v>
      </c>
      <c r="T27" s="65">
        <f>IF($H$111&lt;&gt;0,ROUND(ROUND(M27*I27,4)*Q27,2),VLOOKUP($E27,'2.จัดสรรหลังSK'!$E$4:$R$98,14,FALSE))</f>
        <v>15603144.689999999</v>
      </c>
      <c r="U27" s="93">
        <f>VLOOKUP($E27,'2.จัดสรรหลังSK'!$E$4:$S$98,15,FALSE)</f>
        <v>423958.08</v>
      </c>
      <c r="V27" s="93">
        <f>VLOOKUP($E27,'2.จัดสรรหลังSK'!$E$4:$T$98,16,FALSE)</f>
        <v>0</v>
      </c>
      <c r="W27" s="93">
        <f>VLOOKUP($E27,'2.จัดสรรหลังSK'!$E$4:$U$98,17,FALSE)</f>
        <v>0</v>
      </c>
      <c r="X27" s="8">
        <f t="shared" si="2"/>
        <v>91055165.929999992</v>
      </c>
      <c r="Y27" s="8">
        <f>VLOOKUP($E27,'2.จัดสรรหลังSK'!$E$4:$W$98,19,FALSE)</f>
        <v>37514596</v>
      </c>
      <c r="Z27" s="93">
        <f t="shared" si="3"/>
        <v>53540569.93</v>
      </c>
      <c r="AA27" s="66">
        <v>0</v>
      </c>
      <c r="AB27" s="96">
        <f t="shared" si="4"/>
        <v>53540569.93</v>
      </c>
      <c r="AC27" s="8">
        <f>VLOOKUP($E27,'2.จัดสรรหลังSK'!$E$4:$AA$98,23,FALSE)</f>
        <v>44103371.259999998</v>
      </c>
      <c r="AD27" s="8">
        <f>VLOOKUP($E27,'2.จัดสรรหลังSK'!$E$4:$AB$98,24,FALSE)</f>
        <v>41782141.200000003</v>
      </c>
      <c r="AE27" s="8">
        <f t="shared" si="5"/>
        <v>9437198.6699999999</v>
      </c>
      <c r="AF27" s="8">
        <f t="shared" si="6"/>
        <v>11758428.73</v>
      </c>
      <c r="AG27" s="97" t="str">
        <f t="shared" si="7"/>
        <v>ผ่าน</v>
      </c>
      <c r="AH27" s="8">
        <f t="shared" si="13"/>
        <v>44103371.259999998</v>
      </c>
      <c r="AI27" s="98"/>
      <c r="AJ27" s="8">
        <f t="shared" si="9"/>
        <v>53540569.93</v>
      </c>
      <c r="AK27" s="98"/>
      <c r="AL27" s="98"/>
      <c r="AM27" s="8">
        <f t="shared" si="10"/>
        <v>0</v>
      </c>
      <c r="AN27" s="8">
        <f t="shared" si="11"/>
        <v>53540569.93</v>
      </c>
      <c r="AO27" s="8">
        <f t="shared" si="12"/>
        <v>53540569.93</v>
      </c>
    </row>
    <row r="28" spans="1:41" ht="14.25" customHeight="1" outlineLevel="2">
      <c r="A28" s="92">
        <v>510</v>
      </c>
      <c r="B28" s="60" t="s">
        <v>26</v>
      </c>
      <c r="C28" s="60" t="s">
        <v>45</v>
      </c>
      <c r="D28" s="60" t="s">
        <v>46</v>
      </c>
      <c r="E28" s="60" t="s">
        <v>53</v>
      </c>
      <c r="F28" s="60" t="s">
        <v>54</v>
      </c>
      <c r="G28" s="93">
        <v>1.1000000000000001</v>
      </c>
      <c r="H28" s="71"/>
      <c r="I28" s="65">
        <f t="shared" si="0"/>
        <v>1.1000000000000001</v>
      </c>
      <c r="J28" s="94">
        <f>VLOOKUP($E28,'2.จัดสรรหลังSK'!$E$4:$H$98,4,FALSE)</f>
        <v>82479</v>
      </c>
      <c r="K28" s="8">
        <f>IF($I$1=1,VLOOKUP($E28,'2.จัดสรรหลังSK'!$E$4:$AA$98,5,FALSE),VLOOKUP($E28,Step!$E$5:$AG$99,23,FALSE))</f>
        <v>1139.0026890481215</v>
      </c>
      <c r="L28" s="8">
        <f>IF($I$1=1,VLOOKUP($E28,'2.จัดสรรหลังSK'!$E$4:$AA$98,6,FALSE),VLOOKUP($E28,Step!$E$5:$AG$99,28,FALSE))</f>
        <v>220.25896264503692</v>
      </c>
      <c r="M28" s="95">
        <v>4798.1688999999997</v>
      </c>
      <c r="N28" s="95">
        <v>221.82910000000001</v>
      </c>
      <c r="O28" s="95">
        <v>0</v>
      </c>
      <c r="P28" s="95">
        <v>0</v>
      </c>
      <c r="Q28" s="93">
        <f t="shared" si="1"/>
        <v>7038.3311424701133</v>
      </c>
      <c r="R28" s="93">
        <f>IF($I$1=1,VLOOKUP($E28,'2.จัดสรรหลังSK'!$E$4:$AA$98,12,FALSE),VLOOKUP($E28,Step!$E$5:$AG$99,24,FALSE))</f>
        <v>93943802.790000007</v>
      </c>
      <c r="S28" s="93">
        <f>IF($I$1=1,VLOOKUP($E28,'2.จัดสรรหลังSK'!$E$4:$AA$98,13,FALSE),VLOOKUP($E28,Step!$E$5:$AG$99,29,FALSE))</f>
        <v>18166738.98</v>
      </c>
      <c r="T28" s="65">
        <f>IF($H$111&lt;&gt;0,ROUND(ROUND(M28*I28,4)*Q28,2),VLOOKUP($E28,'2.จัดสรรหลังSK'!$E$4:$R$98,14,FALSE))</f>
        <v>37148211.82</v>
      </c>
      <c r="U28" s="93">
        <f>VLOOKUP($E28,'2.จัดสรรหลังSK'!$E$4:$S$98,15,FALSE)</f>
        <v>2129559.36</v>
      </c>
      <c r="V28" s="93">
        <f>VLOOKUP($E28,'2.จัดสรรหลังSK'!$E$4:$T$98,16,FALSE)</f>
        <v>0</v>
      </c>
      <c r="W28" s="93">
        <f>VLOOKUP($E28,'2.จัดสรรหลังSK'!$E$4:$U$98,17,FALSE)</f>
        <v>0</v>
      </c>
      <c r="X28" s="8">
        <f t="shared" si="2"/>
        <v>151388312.95000002</v>
      </c>
      <c r="Y28" s="8">
        <f>VLOOKUP($E28,'2.จัดสรรหลังSK'!$E$4:$W$98,19,FALSE)</f>
        <v>56912063</v>
      </c>
      <c r="Z28" s="93">
        <f t="shared" si="3"/>
        <v>94476249.950000003</v>
      </c>
      <c r="AA28" s="66">
        <v>0</v>
      </c>
      <c r="AB28" s="96">
        <f t="shared" si="4"/>
        <v>94476249.950000003</v>
      </c>
      <c r="AC28" s="8">
        <f>VLOOKUP($E28,'2.จัดสรรหลังSK'!$E$4:$AA$98,23,FALSE)</f>
        <v>80772087.849999994</v>
      </c>
      <c r="AD28" s="8">
        <f>VLOOKUP($E28,'2.จัดสรรหลังSK'!$E$4:$AB$98,24,FALSE)</f>
        <v>76520925.329999998</v>
      </c>
      <c r="AE28" s="8">
        <f t="shared" si="5"/>
        <v>13704162.1</v>
      </c>
      <c r="AF28" s="8">
        <f t="shared" si="6"/>
        <v>17955324.620000001</v>
      </c>
      <c r="AG28" s="97" t="str">
        <f t="shared" si="7"/>
        <v>ผ่าน</v>
      </c>
      <c r="AH28" s="8">
        <f t="shared" si="13"/>
        <v>80772087.849999994</v>
      </c>
      <c r="AI28" s="98"/>
      <c r="AJ28" s="8">
        <f t="shared" si="9"/>
        <v>94476249.950000003</v>
      </c>
      <c r="AK28" s="98"/>
      <c r="AL28" s="98"/>
      <c r="AM28" s="8">
        <f t="shared" si="10"/>
        <v>0</v>
      </c>
      <c r="AN28" s="8">
        <f t="shared" si="11"/>
        <v>94476249.950000003</v>
      </c>
      <c r="AO28" s="8">
        <f t="shared" si="12"/>
        <v>94476249.950000003</v>
      </c>
    </row>
    <row r="29" spans="1:41" ht="14.25" customHeight="1" outlineLevel="2">
      <c r="A29" s="92">
        <v>511</v>
      </c>
      <c r="B29" s="60" t="s">
        <v>26</v>
      </c>
      <c r="C29" s="60" t="s">
        <v>45</v>
      </c>
      <c r="D29" s="60" t="s">
        <v>46</v>
      </c>
      <c r="E29" s="60" t="s">
        <v>55</v>
      </c>
      <c r="F29" s="60" t="s">
        <v>56</v>
      </c>
      <c r="G29" s="93">
        <v>1.1499999999999999</v>
      </c>
      <c r="H29" s="71"/>
      <c r="I29" s="65">
        <f t="shared" si="0"/>
        <v>1.1499999999999999</v>
      </c>
      <c r="J29" s="94">
        <f>VLOOKUP($E29,'2.จัดสรรหลังSK'!$E$4:$H$98,4,FALSE)</f>
        <v>53723</v>
      </c>
      <c r="K29" s="8">
        <f>IF($I$1=1,VLOOKUP($E29,'2.จัดสรรหลังSK'!$E$4:$AA$98,5,FALSE),VLOOKUP($E29,Step!$E$5:$AG$99,23,FALSE))</f>
        <v>1281.1618260335424</v>
      </c>
      <c r="L29" s="8">
        <f>IF($I$1=1,VLOOKUP($E29,'2.จัดสรรหลังSK'!$E$4:$AA$98,6,FALSE),VLOOKUP($E29,Step!$E$5:$AG$99,28,FALSE))</f>
        <v>247.74952459840293</v>
      </c>
      <c r="M29" s="95">
        <v>2332.6136000000001</v>
      </c>
      <c r="N29" s="95">
        <v>53.698</v>
      </c>
      <c r="O29" s="95">
        <v>0</v>
      </c>
      <c r="P29" s="95">
        <v>0</v>
      </c>
      <c r="Q29" s="93">
        <f t="shared" si="1"/>
        <v>7038.3311424701133</v>
      </c>
      <c r="R29" s="93">
        <f>IF($I$1=1,VLOOKUP($E29,'2.จัดสรรหลังSK'!$E$4:$AA$98,12,FALSE),VLOOKUP($E29,Step!$E$5:$AG$99,24,FALSE))</f>
        <v>68827856.780000001</v>
      </c>
      <c r="S29" s="93">
        <f>IF($I$1=1,VLOOKUP($E29,'2.จัดสรรหลังSK'!$E$4:$AA$98,13,FALSE),VLOOKUP($E29,Step!$E$5:$AG$99,29,FALSE))</f>
        <v>13309847.710000001</v>
      </c>
      <c r="T29" s="65">
        <f>IF($H$111&lt;&gt;0,ROUND(ROUND(M29*I29,4)*Q29,2),VLOOKUP($E29,'2.จัดสรรหลังSK'!$E$4:$R$98,14,FALSE))</f>
        <v>18880362.699999999</v>
      </c>
      <c r="U29" s="93">
        <f>VLOOKUP($E29,'2.จัดสรรหลังSK'!$E$4:$S$98,15,FALSE)</f>
        <v>515500.79999999999</v>
      </c>
      <c r="V29" s="93">
        <f>VLOOKUP($E29,'2.จัดสรรหลังSK'!$E$4:$T$98,16,FALSE)</f>
        <v>0</v>
      </c>
      <c r="W29" s="93">
        <f>VLOOKUP($E29,'2.จัดสรรหลังSK'!$E$4:$U$98,17,FALSE)</f>
        <v>0</v>
      </c>
      <c r="X29" s="8">
        <f t="shared" si="2"/>
        <v>101533567.99000001</v>
      </c>
      <c r="Y29" s="8">
        <f>VLOOKUP($E29,'2.จัดสรรหลังSK'!$E$4:$W$98,19,FALSE)</f>
        <v>36102465</v>
      </c>
      <c r="Z29" s="93">
        <f t="shared" si="3"/>
        <v>65431102.990000002</v>
      </c>
      <c r="AA29" s="66">
        <v>0</v>
      </c>
      <c r="AB29" s="96">
        <f t="shared" si="4"/>
        <v>65431102.990000002</v>
      </c>
      <c r="AC29" s="8">
        <f>VLOOKUP($E29,'2.จัดสรรหลังSK'!$E$4:$AA$98,23,FALSE)</f>
        <v>55633640.189999998</v>
      </c>
      <c r="AD29" s="8">
        <f>VLOOKUP($E29,'2.จัดสรรหลังSK'!$E$4:$AB$98,24,FALSE)</f>
        <v>52705553.869999997</v>
      </c>
      <c r="AE29" s="8">
        <f t="shared" si="5"/>
        <v>9797462.8000000007</v>
      </c>
      <c r="AF29" s="8">
        <f t="shared" si="6"/>
        <v>12725549.119999999</v>
      </c>
      <c r="AG29" s="97" t="str">
        <f t="shared" si="7"/>
        <v>ผ่าน</v>
      </c>
      <c r="AH29" s="8">
        <f t="shared" si="13"/>
        <v>55633640.189999998</v>
      </c>
      <c r="AI29" s="98"/>
      <c r="AJ29" s="8">
        <f t="shared" si="9"/>
        <v>65431102.990000002</v>
      </c>
      <c r="AK29" s="98"/>
      <c r="AL29" s="98"/>
      <c r="AM29" s="8">
        <f t="shared" si="10"/>
        <v>0</v>
      </c>
      <c r="AN29" s="8">
        <f t="shared" si="11"/>
        <v>65431102.990000002</v>
      </c>
      <c r="AO29" s="8">
        <f t="shared" si="12"/>
        <v>65431102.990000002</v>
      </c>
    </row>
    <row r="30" spans="1:41" ht="14.25" customHeight="1" outlineLevel="2">
      <c r="A30" s="92">
        <v>512</v>
      </c>
      <c r="B30" s="104" t="s">
        <v>26</v>
      </c>
      <c r="C30" s="60" t="s">
        <v>45</v>
      </c>
      <c r="D30" s="104" t="s">
        <v>46</v>
      </c>
      <c r="E30" s="104" t="s">
        <v>57</v>
      </c>
      <c r="F30" s="104" t="s">
        <v>58</v>
      </c>
      <c r="G30" s="93">
        <v>1.3</v>
      </c>
      <c r="H30" s="106"/>
      <c r="I30" s="65">
        <f t="shared" si="0"/>
        <v>1.3</v>
      </c>
      <c r="J30" s="94">
        <f>VLOOKUP($E30,'2.จัดสรรหลังSK'!$E$4:$H$98,4,FALSE)</f>
        <v>28992</v>
      </c>
      <c r="K30" s="8">
        <f>IF($I$1=1,VLOOKUP($E30,'2.จัดสรรหลังSK'!$E$4:$AA$98,5,FALSE),VLOOKUP($E30,Step!$E$5:$AG$99,23,FALSE))</f>
        <v>1491.980037941501</v>
      </c>
      <c r="L30" s="8">
        <f>IF($I$1=1,VLOOKUP($E30,'2.จัดสรรหลังSK'!$E$4:$AA$98,6,FALSE),VLOOKUP($E30,Step!$E$5:$AG$99,28,FALSE))</f>
        <v>288.51729546081674</v>
      </c>
      <c r="M30" s="95">
        <v>1602.3444</v>
      </c>
      <c r="N30" s="95">
        <v>22.819800000000001</v>
      </c>
      <c r="O30" s="95">
        <v>0</v>
      </c>
      <c r="P30" s="95">
        <v>0</v>
      </c>
      <c r="Q30" s="93">
        <f t="shared" si="1"/>
        <v>7038.3311424701133</v>
      </c>
      <c r="R30" s="93">
        <f>IF($I$1=1,VLOOKUP($E30,'2.จัดสรรหลังSK'!$E$4:$AA$98,12,FALSE),VLOOKUP($E30,Step!$E$5:$AG$99,24,FALSE))</f>
        <v>43255485.259999998</v>
      </c>
      <c r="S30" s="93">
        <f>IF($I$1=1,VLOOKUP($E30,'2.จัดสรรหลังSK'!$E$4:$AA$98,13,FALSE),VLOOKUP($E30,Step!$E$5:$AG$99,29,FALSE))</f>
        <v>8364693.4299999997</v>
      </c>
      <c r="T30" s="65">
        <f>IF($H$111&lt;&gt;0,ROUND(ROUND(M30*I30,4)*Q30,2),VLOOKUP($E30,'2.จัดสรรหลังSK'!$E$4:$R$98,14,FALSE))</f>
        <v>14661179.49</v>
      </c>
      <c r="U30" s="93">
        <f>VLOOKUP($E30,'2.จัดสรรหลังSK'!$E$4:$S$98,15,FALSE)</f>
        <v>219070.07999999999</v>
      </c>
      <c r="V30" s="93">
        <f>VLOOKUP($E30,'2.จัดสรรหลังSK'!$E$4:$T$98,16,FALSE)</f>
        <v>0</v>
      </c>
      <c r="W30" s="93">
        <f>VLOOKUP($E30,'2.จัดสรรหลังSK'!$E$4:$U$98,17,FALSE)</f>
        <v>0</v>
      </c>
      <c r="X30" s="8">
        <f t="shared" si="2"/>
        <v>66500428.259999998</v>
      </c>
      <c r="Y30" s="8">
        <f>VLOOKUP($E30,'2.จัดสรรหลังSK'!$E$4:$W$98,19,FALSE)</f>
        <v>22396448</v>
      </c>
      <c r="Z30" s="93">
        <f t="shared" si="3"/>
        <v>44103980.259999998</v>
      </c>
      <c r="AA30" s="66">
        <v>0</v>
      </c>
      <c r="AB30" s="96">
        <f t="shared" si="4"/>
        <v>44103980.259999998</v>
      </c>
      <c r="AC30" s="8">
        <f>VLOOKUP($E30,'2.จัดสรรหลังSK'!$E$4:$AA$98,23,FALSE)</f>
        <v>35818298.969999999</v>
      </c>
      <c r="AD30" s="8">
        <f>VLOOKUP($E30,'2.จัดสรรหลังSK'!$E$4:$AB$98,24,FALSE)</f>
        <v>33933125.340000004</v>
      </c>
      <c r="AE30" s="8">
        <f t="shared" si="5"/>
        <v>8285681.29</v>
      </c>
      <c r="AF30" s="8">
        <f t="shared" si="6"/>
        <v>10170854.92</v>
      </c>
      <c r="AG30" s="97" t="str">
        <f t="shared" si="7"/>
        <v>ผ่าน</v>
      </c>
      <c r="AH30" s="8">
        <f t="shared" ref="AH30:AH51" si="16">IF(AND(AB30&gt;AD30,AB30&lt;AC30),AB30,AC30)</f>
        <v>35818298.969999999</v>
      </c>
      <c r="AI30" s="112"/>
      <c r="AJ30" s="8">
        <f t="shared" si="9"/>
        <v>44103980.259999998</v>
      </c>
      <c r="AK30" s="112"/>
      <c r="AL30" s="112"/>
      <c r="AM30" s="8">
        <f t="shared" si="10"/>
        <v>0</v>
      </c>
      <c r="AN30" s="8">
        <f t="shared" si="11"/>
        <v>44103980.259999998</v>
      </c>
      <c r="AO30" s="8">
        <f t="shared" si="12"/>
        <v>44103980.259999998</v>
      </c>
    </row>
    <row r="31" spans="1:41" ht="14.25" customHeight="1" outlineLevel="1">
      <c r="A31" s="172"/>
      <c r="B31" s="173"/>
      <c r="C31" s="104"/>
      <c r="D31" s="174" t="s">
        <v>264</v>
      </c>
      <c r="E31" s="173"/>
      <c r="F31" s="173"/>
      <c r="G31" s="175"/>
      <c r="H31" s="176"/>
      <c r="I31" s="177"/>
      <c r="J31" s="178">
        <f t="shared" ref="J31:AF31" si="17">SUBTOTAL(9,J25:J30)</f>
        <v>383496</v>
      </c>
      <c r="K31" s="179">
        <f t="shared" si="17"/>
        <v>7510.519761214694</v>
      </c>
      <c r="L31" s="179">
        <f t="shared" si="17"/>
        <v>1452.3752292146862</v>
      </c>
      <c r="M31" s="180">
        <f t="shared" si="17"/>
        <v>36565.678999999996</v>
      </c>
      <c r="N31" s="180">
        <f t="shared" si="17"/>
        <v>1032.5001999999999</v>
      </c>
      <c r="O31" s="180">
        <f t="shared" si="17"/>
        <v>817.36379999999986</v>
      </c>
      <c r="P31" s="180">
        <f t="shared" si="17"/>
        <v>35.215299999999999</v>
      </c>
      <c r="Q31" s="175">
        <f t="shared" si="17"/>
        <v>42229.986854820672</v>
      </c>
      <c r="R31" s="175">
        <f t="shared" si="17"/>
        <v>461384192.53999996</v>
      </c>
      <c r="S31" s="175">
        <f t="shared" si="17"/>
        <v>89221917.219999999</v>
      </c>
      <c r="T31" s="177">
        <f t="shared" si="17"/>
        <v>287474205.92000002</v>
      </c>
      <c r="U31" s="175">
        <f t="shared" si="17"/>
        <v>9912001.9200000018</v>
      </c>
      <c r="V31" s="175">
        <f t="shared" si="17"/>
        <v>7356274.2000000002</v>
      </c>
      <c r="W31" s="175">
        <f t="shared" si="17"/>
        <v>422583.6</v>
      </c>
      <c r="X31" s="179">
        <f t="shared" si="17"/>
        <v>855771175.39999998</v>
      </c>
      <c r="Y31" s="179">
        <f t="shared" si="17"/>
        <v>370130100</v>
      </c>
      <c r="Z31" s="175">
        <f t="shared" si="17"/>
        <v>485641075.39999998</v>
      </c>
      <c r="AA31" s="181">
        <f t="shared" si="17"/>
        <v>0</v>
      </c>
      <c r="AB31" s="182">
        <f t="shared" si="17"/>
        <v>485641075.39999998</v>
      </c>
      <c r="AC31" s="179">
        <f t="shared" si="17"/>
        <v>418780110.25999999</v>
      </c>
      <c r="AD31" s="179">
        <f t="shared" si="17"/>
        <v>396739051.84000003</v>
      </c>
      <c r="AE31" s="179">
        <f t="shared" si="17"/>
        <v>66860965.140000008</v>
      </c>
      <c r="AF31" s="179">
        <f t="shared" si="17"/>
        <v>88902023.560000017</v>
      </c>
      <c r="AG31" s="183"/>
      <c r="AH31" s="179">
        <f t="shared" ref="AH31:AO31" si="18">SUBTOTAL(9,AH25:AH30)</f>
        <v>418780110.25999999</v>
      </c>
      <c r="AI31" s="184">
        <f t="shared" si="18"/>
        <v>0</v>
      </c>
      <c r="AJ31" s="179">
        <f t="shared" si="18"/>
        <v>485641075.39999998</v>
      </c>
      <c r="AK31" s="184">
        <f t="shared" si="18"/>
        <v>0</v>
      </c>
      <c r="AL31" s="184">
        <f t="shared" si="18"/>
        <v>0</v>
      </c>
      <c r="AM31" s="179">
        <f t="shared" si="18"/>
        <v>0</v>
      </c>
      <c r="AN31" s="179">
        <f t="shared" si="18"/>
        <v>485641075.39999998</v>
      </c>
      <c r="AO31" s="179">
        <f t="shared" si="18"/>
        <v>485641075.39999998</v>
      </c>
    </row>
    <row r="32" spans="1:41" ht="14.25" customHeight="1" outlineLevel="2">
      <c r="A32" s="157">
        <v>513</v>
      </c>
      <c r="B32" s="104" t="s">
        <v>26</v>
      </c>
      <c r="C32" s="104" t="s">
        <v>59</v>
      </c>
      <c r="D32" s="104" t="s">
        <v>60</v>
      </c>
      <c r="E32" s="104" t="s">
        <v>61</v>
      </c>
      <c r="F32" s="104" t="s">
        <v>62</v>
      </c>
      <c r="G32" s="105">
        <v>1</v>
      </c>
      <c r="H32" s="106"/>
      <c r="I32" s="107">
        <f t="shared" si="0"/>
        <v>1</v>
      </c>
      <c r="J32" s="158">
        <f>VLOOKUP($E32,'2.จัดสรรหลังSK'!$E$4:$H$98,4,FALSE)</f>
        <v>259303</v>
      </c>
      <c r="K32" s="108">
        <f>IF($I$1=1,VLOOKUP($E32,'2.จัดสรรหลังSK'!$E$4:$AA$98,5,FALSE),VLOOKUP($E32,Step!$E$5:$AG$99,23,FALSE))</f>
        <v>866.31744426404634</v>
      </c>
      <c r="L32" s="108">
        <f>IF($I$1=1,VLOOKUP($E32,'2.จัดสรรหลังSK'!$E$4:$AA$98,6,FALSE),VLOOKUP($E32,Step!$E$5:$AG$99,28,FALSE))</f>
        <v>169.7980651207275</v>
      </c>
      <c r="M32" s="109">
        <v>118240.8075</v>
      </c>
      <c r="N32" s="109">
        <v>2770.3712999999998</v>
      </c>
      <c r="O32" s="109">
        <v>2617.2200999999991</v>
      </c>
      <c r="P32" s="109">
        <v>397.06099999999992</v>
      </c>
      <c r="Q32" s="105">
        <f t="shared" si="1"/>
        <v>7038.3311424701133</v>
      </c>
      <c r="R32" s="105">
        <f>IF($I$1=1,VLOOKUP($E32,'2.จัดสรรหลังSK'!$E$4:$AA$98,12,FALSE),VLOOKUP($E32,Step!$E$5:$AG$99,24,FALSE))</f>
        <v>224638712.25</v>
      </c>
      <c r="S32" s="105">
        <f>IF($I$1=1,VLOOKUP($E32,'2.จัดสรรหลังSK'!$E$4:$AA$98,13,FALSE),VLOOKUP($E32,Step!$E$5:$AG$99,29,FALSE))</f>
        <v>44029147.68</v>
      </c>
      <c r="T32" s="65">
        <f>IF($H$111&lt;&gt;0,ROUND(ROUND(M32*I32,4)*Q32,2),VLOOKUP($E32,'2.จัดสรรหลังSK'!$E$4:$R$98,14,FALSE))</f>
        <v>832217957.52999997</v>
      </c>
      <c r="U32" s="105">
        <f>VLOOKUP($E32,'2.จัดสรรหลังSK'!$E$4:$S$98,15,FALSE)</f>
        <v>26595564.48</v>
      </c>
      <c r="V32" s="105">
        <f>VLOOKUP($E32,'2.จัดสรรหลังSK'!$E$4:$T$98,16,FALSE)</f>
        <v>23554980.899999999</v>
      </c>
      <c r="W32" s="105">
        <f>VLOOKUP($E32,'2.จัดสรรหลังSK'!$E$4:$U$98,17,FALSE)</f>
        <v>4764732</v>
      </c>
      <c r="X32" s="108">
        <f t="shared" si="2"/>
        <v>1155801094.8400002</v>
      </c>
      <c r="Y32" s="108">
        <f>VLOOKUP($E32,'2.จัดสรรหลังSK'!$E$4:$W$98,19,FALSE)</f>
        <v>556539290</v>
      </c>
      <c r="Z32" s="105">
        <f t="shared" si="3"/>
        <v>599261804.84000003</v>
      </c>
      <c r="AA32" s="110">
        <v>0</v>
      </c>
      <c r="AB32" s="111">
        <f t="shared" si="4"/>
        <v>599261804.84000003</v>
      </c>
      <c r="AC32" s="108">
        <f>VLOOKUP($E32,'2.จัดสรรหลังSK'!$E$4:$AA$98,23,FALSE)</f>
        <v>590019395.14999998</v>
      </c>
      <c r="AD32" s="108">
        <f>VLOOKUP($E32,'2.จัดสรรหลังSK'!$E$4:$AB$98,24,FALSE)</f>
        <v>558965742.77999997</v>
      </c>
      <c r="AE32" s="108">
        <f t="shared" si="5"/>
        <v>9242409.6899999995</v>
      </c>
      <c r="AF32" s="108">
        <f t="shared" si="6"/>
        <v>40296062.060000002</v>
      </c>
      <c r="AG32" s="159" t="str">
        <f t="shared" si="7"/>
        <v>ผ่าน</v>
      </c>
      <c r="AH32" s="108">
        <f t="shared" si="16"/>
        <v>590019395.14999998</v>
      </c>
      <c r="AI32" s="112"/>
      <c r="AJ32" s="108">
        <f t="shared" si="9"/>
        <v>599261804.84000003</v>
      </c>
      <c r="AK32" s="112"/>
      <c r="AL32" s="112"/>
      <c r="AM32" s="108">
        <f t="shared" si="10"/>
        <v>0</v>
      </c>
      <c r="AN32" s="108">
        <f t="shared" si="11"/>
        <v>599261804.84000003</v>
      </c>
      <c r="AO32" s="108">
        <f t="shared" si="12"/>
        <v>599261804.84000003</v>
      </c>
    </row>
    <row r="33" spans="1:41" ht="14.25" customHeight="1" outlineLevel="2">
      <c r="A33" s="92">
        <v>514</v>
      </c>
      <c r="B33" s="60" t="s">
        <v>26</v>
      </c>
      <c r="C33" s="60" t="s">
        <v>59</v>
      </c>
      <c r="D33" s="60" t="s">
        <v>60</v>
      </c>
      <c r="E33" s="60" t="s">
        <v>63</v>
      </c>
      <c r="F33" s="60" t="s">
        <v>64</v>
      </c>
      <c r="G33" s="93">
        <v>1.1499999999999999</v>
      </c>
      <c r="H33" s="71"/>
      <c r="I33" s="65">
        <f t="shared" ref="I33:I100" si="19">IF(H33&lt;&gt;"",ROUND(H33,2),G33)</f>
        <v>1.1499999999999999</v>
      </c>
      <c r="J33" s="94">
        <f>VLOOKUP($E33,'2.จัดสรรหลังSK'!$E$4:$H$98,4,FALSE)</f>
        <v>51596</v>
      </c>
      <c r="K33" s="8">
        <f>IF($I$1=1,VLOOKUP($E33,'2.จัดสรรหลังSK'!$E$4:$AA$98,5,FALSE),VLOOKUP($E33,Step!$E$5:$AG$99,23,FALSE))</f>
        <v>1279.4252589348011</v>
      </c>
      <c r="L33" s="8">
        <f>IF($I$1=1,VLOOKUP($E33,'2.จัดสรรหลังSK'!$E$4:$AA$98,6,FALSE),VLOOKUP($E33,Step!$E$5:$AG$99,28,FALSE))</f>
        <v>250.76712342042018</v>
      </c>
      <c r="M33" s="95">
        <v>2591.1801999999998</v>
      </c>
      <c r="N33" s="95">
        <v>36.265500000000003</v>
      </c>
      <c r="O33" s="95">
        <v>0</v>
      </c>
      <c r="P33" s="95">
        <v>0</v>
      </c>
      <c r="Q33" s="93">
        <f t="shared" ref="Q33:Q100" si="20">$Q$13</f>
        <v>7038.3311424701133</v>
      </c>
      <c r="R33" s="93">
        <f>IF($I$1=1,VLOOKUP($E33,'2.จัดสรรหลังSK'!$E$4:$AA$98,12,FALSE),VLOOKUP($E33,Step!$E$5:$AG$99,24,FALSE))</f>
        <v>66013225.659999996</v>
      </c>
      <c r="S33" s="93">
        <f>IF($I$1=1,VLOOKUP($E33,'2.จัดสรรหลังSK'!$E$4:$AA$98,13,FALSE),VLOOKUP($E33,Step!$E$5:$AG$99,29,FALSE))</f>
        <v>12938580.5</v>
      </c>
      <c r="T33" s="65">
        <f>IF($H$111&lt;&gt;0,ROUND(ROUND(M33*I33,4)*Q33,2),VLOOKUP($E33,'2.จัดสรรหลังSK'!$E$4:$R$98,14,FALSE))</f>
        <v>20973221.73</v>
      </c>
      <c r="U33" s="93">
        <f>VLOOKUP($E33,'2.จัดสรรหลังSK'!$E$4:$S$98,15,FALSE)</f>
        <v>348148.8</v>
      </c>
      <c r="V33" s="93">
        <f>VLOOKUP($E33,'2.จัดสรรหลังSK'!$E$4:$T$98,16,FALSE)</f>
        <v>0</v>
      </c>
      <c r="W33" s="93">
        <f>VLOOKUP($E33,'2.จัดสรรหลังSK'!$E$4:$U$98,17,FALSE)</f>
        <v>0</v>
      </c>
      <c r="X33" s="8">
        <f t="shared" ref="X33:X100" si="21">SUM(R33:W33)</f>
        <v>100273176.69</v>
      </c>
      <c r="Y33" s="8">
        <f>VLOOKUP($E33,'2.จัดสรรหลังSK'!$E$4:$W$98,19,FALSE)</f>
        <v>36187669</v>
      </c>
      <c r="Z33" s="93">
        <f t="shared" ref="Z33:Z100" si="22">ROUND(X33-Y33,2)</f>
        <v>64085507.689999998</v>
      </c>
      <c r="AA33" s="66">
        <v>0</v>
      </c>
      <c r="AB33" s="96">
        <f t="shared" ref="AB33:AB100" si="23">ROUND(Z33+AA33,2)</f>
        <v>64085507.689999998</v>
      </c>
      <c r="AC33" s="8">
        <f>VLOOKUP($E33,'2.จัดสรรหลังSK'!$E$4:$AA$98,23,FALSE)</f>
        <v>46377825.270000003</v>
      </c>
      <c r="AD33" s="8">
        <f>VLOOKUP($E33,'2.จัดสรรหลังSK'!$E$4:$AB$98,24,FALSE)</f>
        <v>43936887.100000001</v>
      </c>
      <c r="AE33" s="8">
        <f t="shared" ref="AE33:AE100" si="24">ROUND(AB33-AC33,2)</f>
        <v>17707682.420000002</v>
      </c>
      <c r="AF33" s="8">
        <f t="shared" ref="AF33:AF100" si="25">ROUND(AB33-AD33,2)</f>
        <v>20148620.59</v>
      </c>
      <c r="AG33" s="97" t="str">
        <f t="shared" ref="AG33:AG100" si="26">IF(AB33&gt;=AD33,"ผ่าน","ไม่ผ่าน")</f>
        <v>ผ่าน</v>
      </c>
      <c r="AH33" s="8">
        <f t="shared" si="16"/>
        <v>46377825.270000003</v>
      </c>
      <c r="AI33" s="98"/>
      <c r="AJ33" s="8">
        <f t="shared" ref="AJ33:AJ100" si="27">ROUND(AB33+AI33,2)</f>
        <v>64085507.689999998</v>
      </c>
      <c r="AK33" s="98"/>
      <c r="AL33" s="98"/>
      <c r="AM33" s="8">
        <f t="shared" ref="AM33:AM100" si="28">ROUND(AK33+AL33,2)</f>
        <v>0</v>
      </c>
      <c r="AN33" s="8">
        <f t="shared" ref="AN33:AN100" si="29">ROUND(AB33-AM33,2)</f>
        <v>64085507.689999998</v>
      </c>
      <c r="AO33" s="8">
        <f t="shared" ref="AO33:AO100" si="30">ROUND(AJ33-AM33,2)</f>
        <v>64085507.689999998</v>
      </c>
    </row>
    <row r="34" spans="1:41" ht="14.25" customHeight="1" outlineLevel="2">
      <c r="A34" s="92">
        <v>515</v>
      </c>
      <c r="B34" s="60" t="s">
        <v>26</v>
      </c>
      <c r="C34" s="60" t="s">
        <v>59</v>
      </c>
      <c r="D34" s="60" t="s">
        <v>60</v>
      </c>
      <c r="E34" s="60" t="s">
        <v>65</v>
      </c>
      <c r="F34" s="60" t="s">
        <v>66</v>
      </c>
      <c r="G34" s="93">
        <v>1.2</v>
      </c>
      <c r="H34" s="71"/>
      <c r="I34" s="65">
        <f t="shared" si="19"/>
        <v>1.2</v>
      </c>
      <c r="J34" s="94">
        <f>VLOOKUP($E34,'2.จัดสรรหลังSK'!$E$4:$H$98,4,FALSE)</f>
        <v>49836</v>
      </c>
      <c r="K34" s="8">
        <f>IF($I$1=1,VLOOKUP($E34,'2.จัดสรรหลังSK'!$E$4:$AA$98,5,FALSE),VLOOKUP($E34,Step!$E$5:$AG$99,23,FALSE))</f>
        <v>1292.636898226182</v>
      </c>
      <c r="L34" s="8">
        <f>IF($I$1=1,VLOOKUP($E34,'2.จัดสรรหลังSK'!$E$4:$AA$98,6,FALSE),VLOOKUP($E34,Step!$E$5:$AG$99,28,FALSE))</f>
        <v>253.35660225539772</v>
      </c>
      <c r="M34" s="95">
        <v>2295.5652</v>
      </c>
      <c r="N34" s="95">
        <v>47.308300000000003</v>
      </c>
      <c r="O34" s="95">
        <v>0</v>
      </c>
      <c r="P34" s="95">
        <v>0</v>
      </c>
      <c r="Q34" s="93">
        <f t="shared" si="20"/>
        <v>7038.3311424701133</v>
      </c>
      <c r="R34" s="93">
        <f>IF($I$1=1,VLOOKUP($E34,'2.จัดสรรหลังSK'!$E$4:$AA$98,12,FALSE),VLOOKUP($E34,Step!$E$5:$AG$99,24,FALSE))</f>
        <v>64419852.460000001</v>
      </c>
      <c r="S34" s="93">
        <f>IF($I$1=1,VLOOKUP($E34,'2.จัดสรรหลังSK'!$E$4:$AA$98,13,FALSE),VLOOKUP($E34,Step!$E$5:$AG$99,29,FALSE))</f>
        <v>12626279.630000001</v>
      </c>
      <c r="T34" s="65">
        <f>IF($H$111&lt;&gt;0,ROUND(ROUND(M34*I34,4)*Q34,2),VLOOKUP($E34,'2.จัดสรรหลังSK'!$E$4:$R$98,14,FALSE))</f>
        <v>19388337.359999999</v>
      </c>
      <c r="U34" s="93">
        <f>VLOOKUP($E34,'2.จัดสรรหลังSK'!$E$4:$S$98,15,FALSE)</f>
        <v>454159.68</v>
      </c>
      <c r="V34" s="93">
        <f>VLOOKUP($E34,'2.จัดสรรหลังSK'!$E$4:$T$98,16,FALSE)</f>
        <v>0</v>
      </c>
      <c r="W34" s="93">
        <f>VLOOKUP($E34,'2.จัดสรรหลังSK'!$E$4:$U$98,17,FALSE)</f>
        <v>0</v>
      </c>
      <c r="X34" s="8">
        <f t="shared" si="21"/>
        <v>96888629.13000001</v>
      </c>
      <c r="Y34" s="8">
        <f>VLOOKUP($E34,'2.จัดสรรหลังSK'!$E$4:$W$98,19,FALSE)</f>
        <v>44219391</v>
      </c>
      <c r="Z34" s="93">
        <f t="shared" si="22"/>
        <v>52669238.130000003</v>
      </c>
      <c r="AA34" s="66">
        <v>0</v>
      </c>
      <c r="AB34" s="96">
        <f t="shared" si="23"/>
        <v>52669238.130000003</v>
      </c>
      <c r="AC34" s="8">
        <f>VLOOKUP($E34,'2.จัดสรรหลังSK'!$E$4:$AA$98,23,FALSE)</f>
        <v>44410128.259999998</v>
      </c>
      <c r="AD34" s="8">
        <f>VLOOKUP($E34,'2.จัดสรรหลังSK'!$E$4:$AB$98,24,FALSE)</f>
        <v>42072753.090000004</v>
      </c>
      <c r="AE34" s="8">
        <f t="shared" si="24"/>
        <v>8259109.8700000001</v>
      </c>
      <c r="AF34" s="8">
        <f t="shared" si="25"/>
        <v>10596485.039999999</v>
      </c>
      <c r="AG34" s="97" t="str">
        <f t="shared" si="26"/>
        <v>ผ่าน</v>
      </c>
      <c r="AH34" s="8">
        <f t="shared" si="16"/>
        <v>44410128.259999998</v>
      </c>
      <c r="AI34" s="98"/>
      <c r="AJ34" s="8">
        <f t="shared" si="27"/>
        <v>52669238.130000003</v>
      </c>
      <c r="AK34" s="98"/>
      <c r="AL34" s="98"/>
      <c r="AM34" s="8">
        <f t="shared" si="28"/>
        <v>0</v>
      </c>
      <c r="AN34" s="8">
        <f t="shared" si="29"/>
        <v>52669238.130000003</v>
      </c>
      <c r="AO34" s="8">
        <f t="shared" si="30"/>
        <v>52669238.130000003</v>
      </c>
    </row>
    <row r="35" spans="1:41" ht="14.25" customHeight="1" outlineLevel="2">
      <c r="A35" s="92">
        <v>516</v>
      </c>
      <c r="B35" s="60" t="s">
        <v>26</v>
      </c>
      <c r="C35" s="60" t="s">
        <v>59</v>
      </c>
      <c r="D35" s="60" t="s">
        <v>60</v>
      </c>
      <c r="E35" s="60" t="s">
        <v>67</v>
      </c>
      <c r="F35" s="60" t="s">
        <v>68</v>
      </c>
      <c r="G35" s="93">
        <v>1.1499999999999999</v>
      </c>
      <c r="H35" s="71"/>
      <c r="I35" s="65">
        <f t="shared" si="19"/>
        <v>1.1499999999999999</v>
      </c>
      <c r="J35" s="94">
        <f>VLOOKUP($E35,'2.จัดสรรหลังSK'!$E$4:$H$98,4,FALSE)</f>
        <v>84429</v>
      </c>
      <c r="K35" s="8">
        <f>IF($I$1=1,VLOOKUP($E35,'2.จัดสรรหลังSK'!$E$4:$AA$98,5,FALSE),VLOOKUP($E35,Step!$E$5:$AG$99,23,FALSE))</f>
        <v>1117.7173840741925</v>
      </c>
      <c r="L35" s="8">
        <f>IF($I$1=1,VLOOKUP($E35,'2.จัดสรรหลังSK'!$E$4:$AA$98,6,FALSE),VLOOKUP($E35,Step!$E$5:$AG$99,28,FALSE))</f>
        <v>219.07240865105592</v>
      </c>
      <c r="M35" s="95">
        <v>13595.438</v>
      </c>
      <c r="N35" s="95">
        <v>381.3956</v>
      </c>
      <c r="O35" s="95">
        <v>18.091799999999999</v>
      </c>
      <c r="P35" s="95">
        <v>0</v>
      </c>
      <c r="Q35" s="93">
        <f t="shared" si="20"/>
        <v>7038.3311424701133</v>
      </c>
      <c r="R35" s="93">
        <f>IF($I$1=1,VLOOKUP($E35,'2.จัดสรรหลังSK'!$E$4:$AA$98,12,FALSE),VLOOKUP($E35,Step!$E$5:$AG$99,24,FALSE))</f>
        <v>94367761.019999996</v>
      </c>
      <c r="S35" s="93">
        <f>IF($I$1=1,VLOOKUP($E35,'2.จัดสรรหลังSK'!$E$4:$AA$98,13,FALSE),VLOOKUP($E35,Step!$E$5:$AG$99,29,FALSE))</f>
        <v>18496064.390000001</v>
      </c>
      <c r="T35" s="65">
        <f>IF($H$111&lt;&gt;0,ROUND(ROUND(M35*I35,4)*Q35,2),VLOOKUP($E35,'2.จัดสรรหลังSK'!$E$4:$R$98,14,FALSE))</f>
        <v>110042573.84</v>
      </c>
      <c r="U35" s="93">
        <f>VLOOKUP($E35,'2.จัดสรรหลังSK'!$E$4:$S$98,15,FALSE)</f>
        <v>3661397.76</v>
      </c>
      <c r="V35" s="93">
        <f>VLOOKUP($E35,'2.จัดสรรหลังSK'!$E$4:$T$98,16,FALSE)</f>
        <v>162826.20000000001</v>
      </c>
      <c r="W35" s="93">
        <f>VLOOKUP($E35,'2.จัดสรรหลังSK'!$E$4:$U$98,17,FALSE)</f>
        <v>0</v>
      </c>
      <c r="X35" s="8">
        <f t="shared" si="21"/>
        <v>226730623.20999998</v>
      </c>
      <c r="Y35" s="8">
        <f>VLOOKUP($E35,'2.จัดสรรหลังSK'!$E$4:$W$98,19,FALSE)</f>
        <v>109031439</v>
      </c>
      <c r="Z35" s="93">
        <f t="shared" si="22"/>
        <v>117699184.20999999</v>
      </c>
      <c r="AA35" s="66">
        <v>0</v>
      </c>
      <c r="AB35" s="96">
        <f t="shared" si="23"/>
        <v>117699184.20999999</v>
      </c>
      <c r="AC35" s="8">
        <f>VLOOKUP($E35,'2.จัดสรรหลังSK'!$E$4:$AA$98,23,FALSE)</f>
        <v>101232439.68000001</v>
      </c>
      <c r="AD35" s="8">
        <f>VLOOKUP($E35,'2.จัดสรรหลังSK'!$E$4:$AB$98,24,FALSE)</f>
        <v>95904416.540000007</v>
      </c>
      <c r="AE35" s="8">
        <f t="shared" si="24"/>
        <v>16466744.529999999</v>
      </c>
      <c r="AF35" s="8">
        <f t="shared" si="25"/>
        <v>21794767.670000002</v>
      </c>
      <c r="AG35" s="97" t="str">
        <f t="shared" si="26"/>
        <v>ผ่าน</v>
      </c>
      <c r="AH35" s="8">
        <f t="shared" si="16"/>
        <v>101232439.68000001</v>
      </c>
      <c r="AI35" s="98"/>
      <c r="AJ35" s="8">
        <f t="shared" si="27"/>
        <v>117699184.20999999</v>
      </c>
      <c r="AK35" s="98"/>
      <c r="AL35" s="98"/>
      <c r="AM35" s="8">
        <f t="shared" si="28"/>
        <v>0</v>
      </c>
      <c r="AN35" s="8">
        <f t="shared" si="29"/>
        <v>117699184.20999999</v>
      </c>
      <c r="AO35" s="8">
        <f t="shared" si="30"/>
        <v>117699184.20999999</v>
      </c>
    </row>
    <row r="36" spans="1:41" ht="14.25" customHeight="1" outlineLevel="2">
      <c r="A36" s="92">
        <v>517</v>
      </c>
      <c r="B36" s="60" t="s">
        <v>26</v>
      </c>
      <c r="C36" s="60" t="s">
        <v>59</v>
      </c>
      <c r="D36" s="60" t="s">
        <v>60</v>
      </c>
      <c r="E36" s="60" t="s">
        <v>69</v>
      </c>
      <c r="F36" s="60" t="s">
        <v>70</v>
      </c>
      <c r="G36" s="93">
        <v>1.5</v>
      </c>
      <c r="H36" s="71"/>
      <c r="I36" s="65">
        <f t="shared" si="19"/>
        <v>1.5</v>
      </c>
      <c r="J36" s="94">
        <f>VLOOKUP($E36,'2.จัดสรรหลังSK'!$E$4:$H$98,4,FALSE)</f>
        <v>4065</v>
      </c>
      <c r="K36" s="8">
        <f>IF($I$1=1,VLOOKUP($E36,'2.จัดสรรหลังSK'!$E$4:$AA$98,5,FALSE),VLOOKUP($E36,Step!$E$5:$AG$99,23,FALSE))</f>
        <v>1793.9351512915127</v>
      </c>
      <c r="L36" s="8">
        <f>IF($I$1=1,VLOOKUP($E36,'2.จัดสรรหลังSK'!$E$4:$AA$98,6,FALSE),VLOOKUP($E36,Step!$E$5:$AG$99,28,FALSE))</f>
        <v>351.61097170971715</v>
      </c>
      <c r="M36" s="95">
        <v>0</v>
      </c>
      <c r="N36" s="95">
        <v>0</v>
      </c>
      <c r="O36" s="95">
        <v>0</v>
      </c>
      <c r="P36" s="95">
        <v>0</v>
      </c>
      <c r="Q36" s="93">
        <f t="shared" si="20"/>
        <v>7038.3311424701133</v>
      </c>
      <c r="R36" s="93">
        <f>IF($I$1=1,VLOOKUP($E36,'2.จัดสรรหลังSK'!$E$4:$AA$98,12,FALSE),VLOOKUP($E36,Step!$E$5:$AG$99,24,FALSE))</f>
        <v>7292346.3899999997</v>
      </c>
      <c r="S36" s="93">
        <f>IF($I$1=1,VLOOKUP($E36,'2.จัดสรรหลังSK'!$E$4:$AA$98,13,FALSE),VLOOKUP($E36,Step!$E$5:$AG$99,29,FALSE))</f>
        <v>1429298.6</v>
      </c>
      <c r="T36" s="65">
        <f>IF($H$111&lt;&gt;0,ROUND(ROUND(M36*I36,4)*Q36,2),VLOOKUP($E36,'2.จัดสรรหลังSK'!$E$4:$R$98,14,FALSE))</f>
        <v>0</v>
      </c>
      <c r="U36" s="93">
        <f>VLOOKUP($E36,'2.จัดสรรหลังSK'!$E$4:$S$98,15,FALSE)</f>
        <v>0</v>
      </c>
      <c r="V36" s="93">
        <f>VLOOKUP($E36,'2.จัดสรรหลังSK'!$E$4:$T$98,16,FALSE)</f>
        <v>0</v>
      </c>
      <c r="W36" s="93">
        <f>VLOOKUP($E36,'2.จัดสรรหลังSK'!$E$4:$U$98,17,FALSE)</f>
        <v>0</v>
      </c>
      <c r="X36" s="8">
        <f t="shared" si="21"/>
        <v>8721644.9900000002</v>
      </c>
      <c r="Y36" s="8">
        <f>VLOOKUP($E36,'2.จัดสรรหลังSK'!$E$4:$W$98,19,FALSE)</f>
        <v>8547408</v>
      </c>
      <c r="Z36" s="93">
        <f t="shared" si="22"/>
        <v>174236.99</v>
      </c>
      <c r="AA36" s="66">
        <v>9825763.0099999998</v>
      </c>
      <c r="AB36" s="96">
        <f t="shared" si="23"/>
        <v>10000000</v>
      </c>
      <c r="AC36" s="8">
        <f>VLOOKUP($E36,'2.จัดสรรหลังSK'!$E$4:$AA$98,23,FALSE)</f>
        <v>10000000</v>
      </c>
      <c r="AD36" s="8">
        <f>VLOOKUP($E36,'2.จัดสรรหลังSK'!$E$4:$AB$98,24,FALSE)</f>
        <v>9000000</v>
      </c>
      <c r="AE36" s="8">
        <f t="shared" si="24"/>
        <v>0</v>
      </c>
      <c r="AF36" s="8">
        <f t="shared" si="25"/>
        <v>1000000</v>
      </c>
      <c r="AG36" s="97" t="str">
        <f t="shared" si="26"/>
        <v>ผ่าน</v>
      </c>
      <c r="AH36" s="8">
        <f t="shared" si="16"/>
        <v>10000000</v>
      </c>
      <c r="AI36" s="98"/>
      <c r="AJ36" s="8">
        <f t="shared" si="27"/>
        <v>10000000</v>
      </c>
      <c r="AK36" s="98"/>
      <c r="AL36" s="98"/>
      <c r="AM36" s="8">
        <f t="shared" si="28"/>
        <v>0</v>
      </c>
      <c r="AN36" s="8">
        <f t="shared" si="29"/>
        <v>10000000</v>
      </c>
      <c r="AO36" s="8">
        <f t="shared" si="30"/>
        <v>10000000</v>
      </c>
    </row>
    <row r="37" spans="1:41" ht="14.25" customHeight="1" outlineLevel="2">
      <c r="A37" s="92">
        <v>518</v>
      </c>
      <c r="B37" s="60" t="s">
        <v>26</v>
      </c>
      <c r="C37" s="60" t="s">
        <v>59</v>
      </c>
      <c r="D37" s="60" t="s">
        <v>60</v>
      </c>
      <c r="E37" s="60" t="s">
        <v>71</v>
      </c>
      <c r="F37" s="60" t="s">
        <v>72</v>
      </c>
      <c r="G37" s="93">
        <v>1.25</v>
      </c>
      <c r="H37" s="71"/>
      <c r="I37" s="65">
        <f t="shared" si="19"/>
        <v>1.25</v>
      </c>
      <c r="J37" s="94">
        <f>VLOOKUP($E37,'2.จัดสรรหลังSK'!$E$4:$H$98,4,FALSE)</f>
        <v>36898</v>
      </c>
      <c r="K37" s="8">
        <f>IF($I$1=1,VLOOKUP($E37,'2.จัดสรรหลังSK'!$E$4:$AA$98,5,FALSE),VLOOKUP($E37,Step!$E$5:$AG$99,23,FALSE))</f>
        <v>1392.3830554501599</v>
      </c>
      <c r="L37" s="8">
        <f>IF($I$1=1,VLOOKUP($E37,'2.จัดสรรหลังSK'!$E$4:$AA$98,6,FALSE),VLOOKUP($E37,Step!$E$5:$AG$99,28,FALSE))</f>
        <v>272.90683126456719</v>
      </c>
      <c r="M37" s="95">
        <v>2169.4890999999998</v>
      </c>
      <c r="N37" s="95">
        <v>34.862499999999997</v>
      </c>
      <c r="O37" s="95">
        <v>6.1119000000000003</v>
      </c>
      <c r="P37" s="95">
        <v>0</v>
      </c>
      <c r="Q37" s="93">
        <f t="shared" si="20"/>
        <v>7038.3311424701133</v>
      </c>
      <c r="R37" s="93">
        <f>IF($I$1=1,VLOOKUP($E37,'2.จัดสรรหลังSK'!$E$4:$AA$98,12,FALSE),VLOOKUP($E37,Step!$E$5:$AG$99,24,FALSE))</f>
        <v>51376149.979999997</v>
      </c>
      <c r="S37" s="93">
        <f>IF($I$1=1,VLOOKUP($E37,'2.จัดสรรหลังSK'!$E$4:$AA$98,13,FALSE),VLOOKUP($E37,Step!$E$5:$AG$99,29,FALSE))</f>
        <v>10069716.26</v>
      </c>
      <c r="T37" s="65">
        <f>IF($H$111&lt;&gt;0,ROUND(ROUND(M37*I37,4)*Q37,2),VLOOKUP($E37,'2.จัดสรรหลังSK'!$E$4:$R$98,14,FALSE))</f>
        <v>19086978.539999999</v>
      </c>
      <c r="U37" s="93">
        <f>VLOOKUP($E37,'2.จัดสรรหลังSK'!$E$4:$S$98,15,FALSE)</f>
        <v>334680</v>
      </c>
      <c r="V37" s="93">
        <f>VLOOKUP($E37,'2.จัดสรรหลังSK'!$E$4:$T$98,16,FALSE)</f>
        <v>55007.1</v>
      </c>
      <c r="W37" s="93">
        <f>VLOOKUP($E37,'2.จัดสรรหลังSK'!$E$4:$U$98,17,FALSE)</f>
        <v>0</v>
      </c>
      <c r="X37" s="8">
        <f t="shared" si="21"/>
        <v>80922531.879999995</v>
      </c>
      <c r="Y37" s="8">
        <f>VLOOKUP($E37,'2.จัดสรรหลังSK'!$E$4:$W$98,19,FALSE)</f>
        <v>30716205</v>
      </c>
      <c r="Z37" s="93">
        <f t="shared" si="22"/>
        <v>50206326.880000003</v>
      </c>
      <c r="AA37" s="66">
        <v>0</v>
      </c>
      <c r="AB37" s="96">
        <f t="shared" si="23"/>
        <v>50206326.880000003</v>
      </c>
      <c r="AC37" s="8">
        <f>VLOOKUP($E37,'2.จัดสรรหลังSK'!$E$4:$AA$98,23,FALSE)</f>
        <v>37968515.210000001</v>
      </c>
      <c r="AD37" s="8">
        <f>VLOOKUP($E37,'2.จัดสรรหลังSK'!$E$4:$AB$98,24,FALSE)</f>
        <v>35970172.310000002</v>
      </c>
      <c r="AE37" s="8">
        <f t="shared" si="24"/>
        <v>12237811.67</v>
      </c>
      <c r="AF37" s="8">
        <f t="shared" si="25"/>
        <v>14236154.57</v>
      </c>
      <c r="AG37" s="97" t="str">
        <f t="shared" si="26"/>
        <v>ผ่าน</v>
      </c>
      <c r="AH37" s="8">
        <f t="shared" si="16"/>
        <v>37968515.210000001</v>
      </c>
      <c r="AI37" s="98"/>
      <c r="AJ37" s="8">
        <f t="shared" si="27"/>
        <v>50206326.880000003</v>
      </c>
      <c r="AK37" s="98"/>
      <c r="AL37" s="98"/>
      <c r="AM37" s="8">
        <f t="shared" si="28"/>
        <v>0</v>
      </c>
      <c r="AN37" s="8">
        <f t="shared" si="29"/>
        <v>50206326.880000003</v>
      </c>
      <c r="AO37" s="8">
        <f t="shared" si="30"/>
        <v>50206326.880000003</v>
      </c>
    </row>
    <row r="38" spans="1:41" ht="14.25" customHeight="1" outlineLevel="2">
      <c r="A38" s="92">
        <v>519</v>
      </c>
      <c r="B38" s="60" t="s">
        <v>26</v>
      </c>
      <c r="C38" s="60" t="s">
        <v>59</v>
      </c>
      <c r="D38" s="60" t="s">
        <v>60</v>
      </c>
      <c r="E38" s="60" t="s">
        <v>73</v>
      </c>
      <c r="F38" s="60" t="s">
        <v>74</v>
      </c>
      <c r="G38" s="93">
        <v>1.1000000000000001</v>
      </c>
      <c r="H38" s="71"/>
      <c r="I38" s="65">
        <f t="shared" si="19"/>
        <v>1.1000000000000001</v>
      </c>
      <c r="J38" s="94">
        <f>VLOOKUP($E38,'2.จัดสรรหลังSK'!$E$4:$H$98,4,FALSE)</f>
        <v>91589</v>
      </c>
      <c r="K38" s="8">
        <f>IF($I$1=1,VLOOKUP($E38,'2.จัดสรรหลังSK'!$E$4:$AA$98,5,FALSE),VLOOKUP($E38,Step!$E$5:$AG$99,23,FALSE))</f>
        <v>1096.1760734367665</v>
      </c>
      <c r="L38" s="8">
        <f>IF($I$1=1,VLOOKUP($E38,'2.จัดสรรหลังSK'!$E$4:$AA$98,6,FALSE),VLOOKUP($E38,Step!$E$5:$AG$99,28,FALSE))</f>
        <v>214.85031554007577</v>
      </c>
      <c r="M38" s="95">
        <v>6241.1603999999998</v>
      </c>
      <c r="N38" s="95">
        <v>88.013599999999997</v>
      </c>
      <c r="O38" s="95">
        <v>8.5539000000000005</v>
      </c>
      <c r="P38" s="95">
        <v>0</v>
      </c>
      <c r="Q38" s="93">
        <f t="shared" si="20"/>
        <v>7038.3311424701133</v>
      </c>
      <c r="R38" s="93">
        <f>IF($I$1=1,VLOOKUP($E38,'2.จัดสรรหลังSK'!$E$4:$AA$98,12,FALSE),VLOOKUP($E38,Step!$E$5:$AG$99,24,FALSE))</f>
        <v>100397670.39</v>
      </c>
      <c r="S38" s="93">
        <f>IF($I$1=1,VLOOKUP($E38,'2.จัดสรรหลังSK'!$E$4:$AA$98,13,FALSE),VLOOKUP($E38,Step!$E$5:$AG$99,29,FALSE))</f>
        <v>19677925.550000001</v>
      </c>
      <c r="T38" s="65">
        <f>IF($H$111&lt;&gt;0,ROUND(ROUND(M38*I38,4)*Q38,2),VLOOKUP($E38,'2.จัดสรรหลังSK'!$E$4:$R$98,14,FALSE))</f>
        <v>48320088.68</v>
      </c>
      <c r="U38" s="93">
        <f>VLOOKUP($E38,'2.จัดสรรหลังSK'!$E$4:$S$98,15,FALSE)</f>
        <v>844930.56000000006</v>
      </c>
      <c r="V38" s="93">
        <f>VLOOKUP($E38,'2.จัดสรรหลังSK'!$E$4:$T$98,16,FALSE)</f>
        <v>76985.100000000006</v>
      </c>
      <c r="W38" s="93">
        <f>VLOOKUP($E38,'2.จัดสรรหลังSK'!$E$4:$U$98,17,FALSE)</f>
        <v>0</v>
      </c>
      <c r="X38" s="8">
        <f t="shared" si="21"/>
        <v>169317600.28</v>
      </c>
      <c r="Y38" s="8">
        <f>VLOOKUP($E38,'2.จัดสรรหลังSK'!$E$4:$W$98,19,FALSE)</f>
        <v>76273078</v>
      </c>
      <c r="Z38" s="93">
        <f t="shared" si="22"/>
        <v>93044522.280000001</v>
      </c>
      <c r="AA38" s="66">
        <v>0</v>
      </c>
      <c r="AB38" s="96">
        <f t="shared" si="23"/>
        <v>93044522.280000001</v>
      </c>
      <c r="AC38" s="8">
        <f>VLOOKUP($E38,'2.จัดสรรหลังSK'!$E$4:$AA$98,23,FALSE)</f>
        <v>82416556.819999993</v>
      </c>
      <c r="AD38" s="8">
        <f>VLOOKUP($E38,'2.จัดสรรหลังSK'!$E$4:$AB$98,24,FALSE)</f>
        <v>78078843.310000002</v>
      </c>
      <c r="AE38" s="8">
        <f t="shared" si="24"/>
        <v>10627965.460000001</v>
      </c>
      <c r="AF38" s="8">
        <f t="shared" si="25"/>
        <v>14965678.970000001</v>
      </c>
      <c r="AG38" s="97" t="str">
        <f t="shared" si="26"/>
        <v>ผ่าน</v>
      </c>
      <c r="AH38" s="8">
        <f t="shared" si="16"/>
        <v>82416556.819999993</v>
      </c>
      <c r="AI38" s="98"/>
      <c r="AJ38" s="8">
        <f t="shared" si="27"/>
        <v>93044522.280000001</v>
      </c>
      <c r="AK38" s="98"/>
      <c r="AL38" s="98"/>
      <c r="AM38" s="8">
        <f t="shared" si="28"/>
        <v>0</v>
      </c>
      <c r="AN38" s="8">
        <f t="shared" si="29"/>
        <v>93044522.280000001</v>
      </c>
      <c r="AO38" s="8">
        <f t="shared" si="30"/>
        <v>93044522.280000001</v>
      </c>
    </row>
    <row r="39" spans="1:41" ht="14.25" customHeight="1" outlineLevel="2">
      <c r="A39" s="92">
        <v>520</v>
      </c>
      <c r="B39" s="60" t="s">
        <v>26</v>
      </c>
      <c r="C39" s="60" t="s">
        <v>59</v>
      </c>
      <c r="D39" s="60" t="s">
        <v>60</v>
      </c>
      <c r="E39" s="60" t="s">
        <v>75</v>
      </c>
      <c r="F39" s="60" t="s">
        <v>76</v>
      </c>
      <c r="G39" s="93">
        <v>1.3</v>
      </c>
      <c r="H39" s="71"/>
      <c r="I39" s="65">
        <f t="shared" si="19"/>
        <v>1.3</v>
      </c>
      <c r="J39" s="94">
        <f>VLOOKUP($E39,'2.จัดสรรหลังSK'!$E$4:$H$98,4,FALSE)</f>
        <v>25183</v>
      </c>
      <c r="K39" s="8">
        <f>IF($I$1=1,VLOOKUP($E39,'2.จัดสรรหลังSK'!$E$4:$AA$98,5,FALSE),VLOOKUP($E39,Step!$E$5:$AG$99,23,FALSE))</f>
        <v>1505.0804610252949</v>
      </c>
      <c r="L39" s="8">
        <f>IF($I$1=1,VLOOKUP($E39,'2.จัดสรรหลังSK'!$E$4:$AA$98,6,FALSE),VLOOKUP($E39,Step!$E$5:$AG$99,28,FALSE))</f>
        <v>294.99550252154233</v>
      </c>
      <c r="M39" s="95">
        <v>1172.5636</v>
      </c>
      <c r="N39" s="95">
        <v>12.6966</v>
      </c>
      <c r="O39" s="95">
        <v>0</v>
      </c>
      <c r="P39" s="95">
        <v>0</v>
      </c>
      <c r="Q39" s="93">
        <f t="shared" si="20"/>
        <v>7038.3311424701133</v>
      </c>
      <c r="R39" s="93">
        <f>IF($I$1=1,VLOOKUP($E39,'2.จัดสรรหลังSK'!$E$4:$AA$98,12,FALSE),VLOOKUP($E39,Step!$E$5:$AG$99,24,FALSE))</f>
        <v>37902441.25</v>
      </c>
      <c r="S39" s="93">
        <f>IF($I$1=1,VLOOKUP($E39,'2.จัดสรรหลังSK'!$E$4:$AA$98,13,FALSE),VLOOKUP($E39,Step!$E$5:$AG$99,29,FALSE))</f>
        <v>7428871.7400000002</v>
      </c>
      <c r="T39" s="65">
        <f>IF($H$111&lt;&gt;0,ROUND(ROUND(M39*I39,4)*Q39,2),VLOOKUP($E39,'2.จัดสรรหลังSK'!$E$4:$R$98,14,FALSE))</f>
        <v>10728758.310000001</v>
      </c>
      <c r="U39" s="93">
        <f>VLOOKUP($E39,'2.จัดสรรหลังSK'!$E$4:$S$98,15,FALSE)</f>
        <v>121887.36</v>
      </c>
      <c r="V39" s="93">
        <f>VLOOKUP($E39,'2.จัดสรรหลังSK'!$E$4:$T$98,16,FALSE)</f>
        <v>0</v>
      </c>
      <c r="W39" s="93">
        <f>VLOOKUP($E39,'2.จัดสรรหลังSK'!$E$4:$U$98,17,FALSE)</f>
        <v>0</v>
      </c>
      <c r="X39" s="8">
        <f t="shared" si="21"/>
        <v>56181958.660000004</v>
      </c>
      <c r="Y39" s="8">
        <f>VLOOKUP($E39,'2.จัดสรรหลังSK'!$E$4:$W$98,19,FALSE)</f>
        <v>23417209</v>
      </c>
      <c r="Z39" s="93">
        <f t="shared" si="22"/>
        <v>32764749.66</v>
      </c>
      <c r="AA39" s="66">
        <v>0</v>
      </c>
      <c r="AB39" s="96">
        <f t="shared" si="23"/>
        <v>32764749.66</v>
      </c>
      <c r="AC39" s="8">
        <f>VLOOKUP($E39,'2.จัดสรรหลังSK'!$E$4:$AA$98,23,FALSE)</f>
        <v>26125620.760000002</v>
      </c>
      <c r="AD39" s="8">
        <f>VLOOKUP($E39,'2.จัดสรรหลังSK'!$E$4:$AB$98,24,FALSE)</f>
        <v>24750588.09</v>
      </c>
      <c r="AE39" s="8">
        <f t="shared" si="24"/>
        <v>6639128.9000000004</v>
      </c>
      <c r="AF39" s="8">
        <f t="shared" si="25"/>
        <v>8014161.5700000003</v>
      </c>
      <c r="AG39" s="97" t="str">
        <f t="shared" si="26"/>
        <v>ผ่าน</v>
      </c>
      <c r="AH39" s="8">
        <f t="shared" si="16"/>
        <v>26125620.760000002</v>
      </c>
      <c r="AI39" s="98"/>
      <c r="AJ39" s="8">
        <f t="shared" si="27"/>
        <v>32764749.66</v>
      </c>
      <c r="AK39" s="98"/>
      <c r="AL39" s="98"/>
      <c r="AM39" s="8">
        <f t="shared" si="28"/>
        <v>0</v>
      </c>
      <c r="AN39" s="8">
        <f t="shared" si="29"/>
        <v>32764749.66</v>
      </c>
      <c r="AO39" s="8">
        <f t="shared" si="30"/>
        <v>32764749.66</v>
      </c>
    </row>
    <row r="40" spans="1:41" ht="14.25" customHeight="1" outlineLevel="2">
      <c r="A40" s="92">
        <v>521</v>
      </c>
      <c r="B40" s="60" t="s">
        <v>26</v>
      </c>
      <c r="C40" s="60" t="s">
        <v>59</v>
      </c>
      <c r="D40" s="60" t="s">
        <v>60</v>
      </c>
      <c r="E40" s="60" t="s">
        <v>77</v>
      </c>
      <c r="F40" s="60" t="s">
        <v>78</v>
      </c>
      <c r="G40" s="93">
        <v>1.3</v>
      </c>
      <c r="H40" s="71"/>
      <c r="I40" s="65">
        <f t="shared" si="19"/>
        <v>1.3</v>
      </c>
      <c r="J40" s="94">
        <f>VLOOKUP($E40,'2.จัดสรรหลังSK'!$E$4:$H$98,4,FALSE)</f>
        <v>29962</v>
      </c>
      <c r="K40" s="8">
        <f>IF($I$1=1,VLOOKUP($E40,'2.จัดสรรหลังSK'!$E$4:$AA$98,5,FALSE),VLOOKUP($E40,Step!$E$5:$AG$99,23,FALSE))</f>
        <v>1465.3124794740004</v>
      </c>
      <c r="L40" s="8">
        <f>IF($I$1=1,VLOOKUP($E40,'2.จัดสรรหลังSK'!$E$4:$AA$98,6,FALSE),VLOOKUP($E40,Step!$E$5:$AG$99,28,FALSE))</f>
        <v>287.20098558173686</v>
      </c>
      <c r="M40" s="95">
        <v>1118.5631000000001</v>
      </c>
      <c r="N40" s="95">
        <v>20.002199999999998</v>
      </c>
      <c r="O40" s="95">
        <v>0</v>
      </c>
      <c r="P40" s="95">
        <v>0</v>
      </c>
      <c r="Q40" s="93">
        <f t="shared" si="20"/>
        <v>7038.3311424701133</v>
      </c>
      <c r="R40" s="93">
        <f>IF($I$1=1,VLOOKUP($E40,'2.จัดสรรหลังSK'!$E$4:$AA$98,12,FALSE),VLOOKUP($E40,Step!$E$5:$AG$99,24,FALSE))</f>
        <v>43903692.509999998</v>
      </c>
      <c r="S40" s="93">
        <f>IF($I$1=1,VLOOKUP($E40,'2.จัดสรรหลังSK'!$E$4:$AA$98,13,FALSE),VLOOKUP($E40,Step!$E$5:$AG$99,29,FALSE))</f>
        <v>8605115.9299999997</v>
      </c>
      <c r="T40" s="65">
        <f>IF($H$111&lt;&gt;0,ROUND(ROUND(M40*I40,4)*Q40,2),VLOOKUP($E40,'2.จัดสรรหลังSK'!$E$4:$R$98,14,FALSE))</f>
        <v>10234662.539999999</v>
      </c>
      <c r="U40" s="93">
        <f>VLOOKUP($E40,'2.จัดสรรหลังSK'!$E$4:$S$98,15,FALSE)</f>
        <v>192021.12</v>
      </c>
      <c r="V40" s="93">
        <f>VLOOKUP($E40,'2.จัดสรรหลังSK'!$E$4:$T$98,16,FALSE)</f>
        <v>0</v>
      </c>
      <c r="W40" s="93">
        <f>VLOOKUP($E40,'2.จัดสรรหลังSK'!$E$4:$U$98,17,FALSE)</f>
        <v>0</v>
      </c>
      <c r="X40" s="8">
        <f t="shared" si="21"/>
        <v>62935492.099999994</v>
      </c>
      <c r="Y40" s="8">
        <f>VLOOKUP($E40,'2.จัดสรรหลังSK'!$E$4:$W$98,19,FALSE)</f>
        <v>19426549</v>
      </c>
      <c r="Z40" s="93">
        <f t="shared" si="22"/>
        <v>43508943.100000001</v>
      </c>
      <c r="AA40" s="66">
        <v>0</v>
      </c>
      <c r="AB40" s="96">
        <f t="shared" si="23"/>
        <v>43508943.100000001</v>
      </c>
      <c r="AC40" s="8">
        <f>VLOOKUP($E40,'2.จัดสรรหลังSK'!$E$4:$AA$98,23,FALSE)</f>
        <v>33122423.789999999</v>
      </c>
      <c r="AD40" s="8">
        <f>VLOOKUP($E40,'2.จัดสรรหลังSK'!$E$4:$AB$98,24,FALSE)</f>
        <v>31379138.329999998</v>
      </c>
      <c r="AE40" s="8">
        <f t="shared" si="24"/>
        <v>10386519.310000001</v>
      </c>
      <c r="AF40" s="8">
        <f t="shared" si="25"/>
        <v>12129804.77</v>
      </c>
      <c r="AG40" s="97" t="str">
        <f t="shared" si="26"/>
        <v>ผ่าน</v>
      </c>
      <c r="AH40" s="8">
        <f t="shared" si="16"/>
        <v>33122423.789999999</v>
      </c>
      <c r="AI40" s="98"/>
      <c r="AJ40" s="8">
        <f t="shared" si="27"/>
        <v>43508943.100000001</v>
      </c>
      <c r="AK40" s="98"/>
      <c r="AL40" s="98"/>
      <c r="AM40" s="8">
        <f t="shared" si="28"/>
        <v>0</v>
      </c>
      <c r="AN40" s="8">
        <f t="shared" si="29"/>
        <v>43508943.100000001</v>
      </c>
      <c r="AO40" s="8">
        <f t="shared" si="30"/>
        <v>43508943.100000001</v>
      </c>
    </row>
    <row r="41" spans="1:41" ht="14.25" customHeight="1" outlineLevel="2">
      <c r="A41" s="92">
        <v>522</v>
      </c>
      <c r="B41" s="60" t="s">
        <v>26</v>
      </c>
      <c r="C41" s="60" t="s">
        <v>59</v>
      </c>
      <c r="D41" s="60" t="s">
        <v>60</v>
      </c>
      <c r="E41" s="60" t="s">
        <v>79</v>
      </c>
      <c r="F41" s="60" t="s">
        <v>80</v>
      </c>
      <c r="G41" s="93">
        <v>1.25</v>
      </c>
      <c r="H41" s="71"/>
      <c r="I41" s="65">
        <f t="shared" si="19"/>
        <v>1.25</v>
      </c>
      <c r="J41" s="94">
        <f>VLOOKUP($E41,'2.จัดสรรหลังSK'!$E$4:$H$98,4,FALSE)</f>
        <v>36732</v>
      </c>
      <c r="K41" s="8">
        <f>IF($I$1=1,VLOOKUP($E41,'2.จัดสรรหลังSK'!$E$4:$AA$98,5,FALSE),VLOOKUP($E41,Step!$E$5:$AG$99,23,FALSE))</f>
        <v>1393.8112286289884</v>
      </c>
      <c r="L41" s="8">
        <f>IF($I$1=1,VLOOKUP($E41,'2.จัดสรรหลังSK'!$E$4:$AA$98,6,FALSE),VLOOKUP($E41,Step!$E$5:$AG$99,28,FALSE))</f>
        <v>273.18675323968205</v>
      </c>
      <c r="M41" s="95">
        <v>1688.8957</v>
      </c>
      <c r="N41" s="95">
        <v>27.6968</v>
      </c>
      <c r="O41" s="95">
        <v>0</v>
      </c>
      <c r="P41" s="95">
        <v>0</v>
      </c>
      <c r="Q41" s="93">
        <f t="shared" si="20"/>
        <v>7038.3311424701133</v>
      </c>
      <c r="R41" s="93">
        <f>IF($I$1=1,VLOOKUP($E41,'2.จัดสรรหลังSK'!$E$4:$AA$98,12,FALSE),VLOOKUP($E41,Step!$E$5:$AG$99,24,FALSE))</f>
        <v>51197474.049999997</v>
      </c>
      <c r="S41" s="93">
        <f>IF($I$1=1,VLOOKUP($E41,'2.จัดสรรหลังSK'!$E$4:$AA$98,13,FALSE),VLOOKUP($E41,Step!$E$5:$AG$99,29,FALSE))</f>
        <v>10034695.82</v>
      </c>
      <c r="T41" s="65">
        <f>IF($H$111&lt;&gt;0,ROUND(ROUND(M41*I41,4)*Q41,2),VLOOKUP($E41,'2.จัดสรรหลังSK'!$E$4:$R$98,14,FALSE))</f>
        <v>14858758.82</v>
      </c>
      <c r="U41" s="93">
        <f>VLOOKUP($E41,'2.จัดสรรหลังSK'!$E$4:$S$98,15,FALSE)</f>
        <v>265889.28000000003</v>
      </c>
      <c r="V41" s="93">
        <f>VLOOKUP($E41,'2.จัดสรรหลังSK'!$E$4:$T$98,16,FALSE)</f>
        <v>0</v>
      </c>
      <c r="W41" s="93">
        <f>VLOOKUP($E41,'2.จัดสรรหลังSK'!$E$4:$U$98,17,FALSE)</f>
        <v>0</v>
      </c>
      <c r="X41" s="8">
        <f t="shared" si="21"/>
        <v>76356817.969999999</v>
      </c>
      <c r="Y41" s="8">
        <f>VLOOKUP($E41,'2.จัดสรรหลังSK'!$E$4:$W$98,19,FALSE)</f>
        <v>29988659</v>
      </c>
      <c r="Z41" s="93">
        <f t="shared" si="22"/>
        <v>46368158.969999999</v>
      </c>
      <c r="AA41" s="66">
        <v>0</v>
      </c>
      <c r="AB41" s="96">
        <f t="shared" si="23"/>
        <v>46368158.969999999</v>
      </c>
      <c r="AC41" s="8">
        <f>VLOOKUP($E41,'2.จัดสรรหลังSK'!$E$4:$AA$98,23,FALSE)</f>
        <v>37773928.119999997</v>
      </c>
      <c r="AD41" s="8">
        <f>VLOOKUP($E41,'2.จัดสรรหลังSK'!$E$4:$AB$98,24,FALSE)</f>
        <v>35785826.640000001</v>
      </c>
      <c r="AE41" s="8">
        <f t="shared" si="24"/>
        <v>8594230.8499999996</v>
      </c>
      <c r="AF41" s="8">
        <f t="shared" si="25"/>
        <v>10582332.33</v>
      </c>
      <c r="AG41" s="97" t="str">
        <f t="shared" si="26"/>
        <v>ผ่าน</v>
      </c>
      <c r="AH41" s="8">
        <f t="shared" si="16"/>
        <v>37773928.119999997</v>
      </c>
      <c r="AI41" s="98"/>
      <c r="AJ41" s="8">
        <f t="shared" si="27"/>
        <v>46368158.969999999</v>
      </c>
      <c r="AK41" s="98"/>
      <c r="AL41" s="98"/>
      <c r="AM41" s="8">
        <f t="shared" si="28"/>
        <v>0</v>
      </c>
      <c r="AN41" s="8">
        <f t="shared" si="29"/>
        <v>46368158.969999999</v>
      </c>
      <c r="AO41" s="8">
        <f t="shared" si="30"/>
        <v>46368158.969999999</v>
      </c>
    </row>
    <row r="42" spans="1:41" ht="14.25" customHeight="1" outlineLevel="2">
      <c r="A42" s="92">
        <v>523</v>
      </c>
      <c r="B42" s="60" t="s">
        <v>26</v>
      </c>
      <c r="C42" s="60" t="s">
        <v>59</v>
      </c>
      <c r="D42" s="60" t="s">
        <v>60</v>
      </c>
      <c r="E42" s="60" t="s">
        <v>81</v>
      </c>
      <c r="F42" s="60" t="s">
        <v>82</v>
      </c>
      <c r="G42" s="93">
        <v>1.2</v>
      </c>
      <c r="H42" s="71"/>
      <c r="I42" s="65">
        <f t="shared" si="19"/>
        <v>1.2</v>
      </c>
      <c r="J42" s="94">
        <f>VLOOKUP($E42,'2.จัดสรรหลังSK'!$E$4:$H$98,4,FALSE)</f>
        <v>43658</v>
      </c>
      <c r="K42" s="8">
        <f>IF($I$1=1,VLOOKUP($E42,'2.จัดสรรหลังSK'!$E$4:$AA$98,5,FALSE),VLOOKUP($E42,Step!$E$5:$AG$99,23,FALSE))</f>
        <v>1335.9347704887994</v>
      </c>
      <c r="L42" s="8">
        <f>IF($I$1=1,VLOOKUP($E42,'2.จัดสรรหลังSK'!$E$4:$AA$98,6,FALSE),VLOOKUP($E42,Step!$E$5:$AG$99,28,FALSE))</f>
        <v>261.84297769022862</v>
      </c>
      <c r="M42" s="95">
        <v>2450.2330999999999</v>
      </c>
      <c r="N42" s="95">
        <v>56.857900000000001</v>
      </c>
      <c r="O42" s="95">
        <v>0</v>
      </c>
      <c r="P42" s="95">
        <v>0</v>
      </c>
      <c r="Q42" s="93">
        <f t="shared" si="20"/>
        <v>7038.3311424701133</v>
      </c>
      <c r="R42" s="93">
        <f>IF($I$1=1,VLOOKUP($E42,'2.จัดสรรหลังSK'!$E$4:$AA$98,12,FALSE),VLOOKUP($E42,Step!$E$5:$AG$99,24,FALSE))</f>
        <v>58324240.210000001</v>
      </c>
      <c r="S42" s="93">
        <f>IF($I$1=1,VLOOKUP($E42,'2.จัดสรรหลังSK'!$E$4:$AA$98,13,FALSE),VLOOKUP($E42,Step!$E$5:$AG$99,29,FALSE))</f>
        <v>11431540.720000001</v>
      </c>
      <c r="T42" s="65">
        <f>IF($H$111&lt;&gt;0,ROUND(ROUND(M42*I42,4)*Q42,2),VLOOKUP($E42,'2.จัดสรรหลังSK'!$E$4:$R$98,14,FALSE))</f>
        <v>20694662.170000002</v>
      </c>
      <c r="U42" s="93">
        <f>VLOOKUP($E42,'2.จัดสรรหลังSK'!$E$4:$S$98,15,FALSE)</f>
        <v>545835.84</v>
      </c>
      <c r="V42" s="93">
        <f>VLOOKUP($E42,'2.จัดสรรหลังSK'!$E$4:$T$98,16,FALSE)</f>
        <v>0</v>
      </c>
      <c r="W42" s="93">
        <f>VLOOKUP($E42,'2.จัดสรรหลังSK'!$E$4:$U$98,17,FALSE)</f>
        <v>0</v>
      </c>
      <c r="X42" s="8">
        <f t="shared" si="21"/>
        <v>90996278.940000013</v>
      </c>
      <c r="Y42" s="8">
        <f>VLOOKUP($E42,'2.จัดสรรหลังSK'!$E$4:$W$98,19,FALSE)</f>
        <v>34972090</v>
      </c>
      <c r="Z42" s="93">
        <f t="shared" si="22"/>
        <v>56024188.939999998</v>
      </c>
      <c r="AA42" s="66">
        <v>0</v>
      </c>
      <c r="AB42" s="96">
        <f t="shared" si="23"/>
        <v>56024188.939999998</v>
      </c>
      <c r="AC42" s="8">
        <f>VLOOKUP($E42,'2.จัดสรรหลังSK'!$E$4:$AA$98,23,FALSE)</f>
        <v>47330388.219999999</v>
      </c>
      <c r="AD42" s="8">
        <f>VLOOKUP($E42,'2.จัดสรรหลังSK'!$E$4:$AB$98,24,FALSE)</f>
        <v>44839315.149999999</v>
      </c>
      <c r="AE42" s="8">
        <f t="shared" si="24"/>
        <v>8693800.7200000007</v>
      </c>
      <c r="AF42" s="8">
        <f t="shared" si="25"/>
        <v>11184873.789999999</v>
      </c>
      <c r="AG42" s="97" t="str">
        <f t="shared" si="26"/>
        <v>ผ่าน</v>
      </c>
      <c r="AH42" s="8">
        <f t="shared" si="16"/>
        <v>47330388.219999999</v>
      </c>
      <c r="AI42" s="98"/>
      <c r="AJ42" s="8">
        <f t="shared" si="27"/>
        <v>56024188.939999998</v>
      </c>
      <c r="AK42" s="98"/>
      <c r="AL42" s="98"/>
      <c r="AM42" s="8">
        <f t="shared" si="28"/>
        <v>0</v>
      </c>
      <c r="AN42" s="8">
        <f t="shared" si="29"/>
        <v>56024188.939999998</v>
      </c>
      <c r="AO42" s="8">
        <f t="shared" si="30"/>
        <v>56024188.939999998</v>
      </c>
    </row>
    <row r="43" spans="1:41" ht="14.25" customHeight="1" outlineLevel="2">
      <c r="A43" s="92">
        <v>524</v>
      </c>
      <c r="B43" s="60" t="s">
        <v>26</v>
      </c>
      <c r="C43" s="60" t="s">
        <v>59</v>
      </c>
      <c r="D43" s="60" t="s">
        <v>60</v>
      </c>
      <c r="E43" s="60" t="s">
        <v>83</v>
      </c>
      <c r="F43" s="60" t="s">
        <v>84</v>
      </c>
      <c r="G43" s="93">
        <v>1.1000000000000001</v>
      </c>
      <c r="H43" s="71"/>
      <c r="I43" s="65">
        <f t="shared" si="19"/>
        <v>1.1000000000000001</v>
      </c>
      <c r="J43" s="94">
        <f>VLOOKUP($E43,'2.จัดสรรหลังSK'!$E$4:$H$98,4,FALSE)</f>
        <v>87100</v>
      </c>
      <c r="K43" s="8">
        <f>IF($I$1=1,VLOOKUP($E43,'2.จัดสรรหลังSK'!$E$4:$AA$98,5,FALSE),VLOOKUP($E43,Step!$E$5:$AG$99,23,FALSE))</f>
        <v>1109.5725762342136</v>
      </c>
      <c r="L43" s="8">
        <f>IF($I$1=1,VLOOKUP($E43,'2.จัดสรรหลังSK'!$E$4:$AA$98,6,FALSE),VLOOKUP($E43,Step!$E$5:$AG$99,28,FALSE))</f>
        <v>217.47602778415614</v>
      </c>
      <c r="M43" s="95">
        <v>6250.7851000000001</v>
      </c>
      <c r="N43" s="95">
        <v>106.669</v>
      </c>
      <c r="O43" s="95">
        <v>0</v>
      </c>
      <c r="P43" s="95">
        <v>0</v>
      </c>
      <c r="Q43" s="93">
        <f t="shared" si="20"/>
        <v>7038.3311424701133</v>
      </c>
      <c r="R43" s="93">
        <f>IF($I$1=1,VLOOKUP($E43,'2.จัดสรรหลังSK'!$E$4:$AA$98,12,FALSE),VLOOKUP($E43,Step!$E$5:$AG$99,24,FALSE))</f>
        <v>96643771.390000001</v>
      </c>
      <c r="S43" s="93">
        <f>IF($I$1=1,VLOOKUP($E43,'2.จัดสรรหลังSK'!$E$4:$AA$98,13,FALSE),VLOOKUP($E43,Step!$E$5:$AG$99,29,FALSE))</f>
        <v>18942162.02</v>
      </c>
      <c r="T43" s="65">
        <f>IF($H$111&lt;&gt;0,ROUND(ROUND(M43*I43,4)*Q43,2),VLOOKUP($E43,'2.จัดสรรหลังSK'!$E$4:$R$98,14,FALSE))</f>
        <v>48394604.899999999</v>
      </c>
      <c r="U43" s="93">
        <f>VLOOKUP($E43,'2.จัดสรรหลังSK'!$E$4:$S$98,15,FALSE)</f>
        <v>1024022.4</v>
      </c>
      <c r="V43" s="93">
        <f>VLOOKUP($E43,'2.จัดสรรหลังSK'!$E$4:$T$98,16,FALSE)</f>
        <v>0</v>
      </c>
      <c r="W43" s="93">
        <f>VLOOKUP($E43,'2.จัดสรรหลังSK'!$E$4:$U$98,17,FALSE)</f>
        <v>0</v>
      </c>
      <c r="X43" s="8">
        <f t="shared" si="21"/>
        <v>165004560.71000001</v>
      </c>
      <c r="Y43" s="8">
        <f>VLOOKUP($E43,'2.จัดสรรหลังSK'!$E$4:$W$98,19,FALSE)</f>
        <v>65495591</v>
      </c>
      <c r="Z43" s="93">
        <f t="shared" si="22"/>
        <v>99508969.709999993</v>
      </c>
      <c r="AA43" s="66">
        <v>0</v>
      </c>
      <c r="AB43" s="96">
        <f t="shared" si="23"/>
        <v>99508969.709999993</v>
      </c>
      <c r="AC43" s="8">
        <f>VLOOKUP($E43,'2.จัดสรรหลังSK'!$E$4:$AA$98,23,FALSE)</f>
        <v>83809624.189999998</v>
      </c>
      <c r="AD43" s="8">
        <f>VLOOKUP($E43,'2.จัดสรรหลังSK'!$E$4:$AB$98,24,FALSE)</f>
        <v>79398591.340000004</v>
      </c>
      <c r="AE43" s="8">
        <f t="shared" si="24"/>
        <v>15699345.52</v>
      </c>
      <c r="AF43" s="8">
        <f t="shared" si="25"/>
        <v>20110378.370000001</v>
      </c>
      <c r="AG43" s="97" t="str">
        <f t="shared" si="26"/>
        <v>ผ่าน</v>
      </c>
      <c r="AH43" s="8">
        <f t="shared" si="16"/>
        <v>83809624.189999998</v>
      </c>
      <c r="AI43" s="98"/>
      <c r="AJ43" s="8">
        <f t="shared" si="27"/>
        <v>99508969.709999993</v>
      </c>
      <c r="AK43" s="98"/>
      <c r="AL43" s="98"/>
      <c r="AM43" s="8">
        <f t="shared" si="28"/>
        <v>0</v>
      </c>
      <c r="AN43" s="8">
        <f t="shared" si="29"/>
        <v>99508969.709999993</v>
      </c>
      <c r="AO43" s="8">
        <f t="shared" si="30"/>
        <v>99508969.709999993</v>
      </c>
    </row>
    <row r="44" spans="1:41" ht="14.25" customHeight="1" outlineLevel="2">
      <c r="A44" s="92">
        <v>525</v>
      </c>
      <c r="B44" s="60" t="s">
        <v>26</v>
      </c>
      <c r="C44" s="60" t="s">
        <v>59</v>
      </c>
      <c r="D44" s="60" t="s">
        <v>60</v>
      </c>
      <c r="E44" s="60" t="s">
        <v>85</v>
      </c>
      <c r="F44" s="60" t="s">
        <v>86</v>
      </c>
      <c r="G44" s="93">
        <v>1.1499999999999999</v>
      </c>
      <c r="H44" s="71"/>
      <c r="I44" s="65">
        <f t="shared" si="19"/>
        <v>1.1499999999999999</v>
      </c>
      <c r="J44" s="94">
        <f>VLOOKUP($E44,'2.จัดสรรหลังSK'!$E$4:$H$98,4,FALSE)</f>
        <v>46913</v>
      </c>
      <c r="K44" s="8">
        <f>IF($I$1=1,VLOOKUP($E44,'2.จัดสรรหลังSK'!$E$4:$AA$98,5,FALSE),VLOOKUP($E44,Step!$E$5:$AG$99,23,FALSE))</f>
        <v>1311.7010768870036</v>
      </c>
      <c r="L44" s="8">
        <f>IF($I$1=1,VLOOKUP($E44,'2.จัดสรรหลังSK'!$E$4:$AA$98,6,FALSE),VLOOKUP($E44,Step!$E$5:$AG$99,28,FALSE))</f>
        <v>257.09317801035962</v>
      </c>
      <c r="M44" s="95">
        <v>2908.6091000000001</v>
      </c>
      <c r="N44" s="95">
        <v>61.230200000000004</v>
      </c>
      <c r="O44" s="95">
        <v>0</v>
      </c>
      <c r="P44" s="95">
        <v>0</v>
      </c>
      <c r="Q44" s="93">
        <f t="shared" si="20"/>
        <v>7038.3311424701133</v>
      </c>
      <c r="R44" s="93">
        <f>IF($I$1=1,VLOOKUP($E44,'2.จัดสรรหลังSK'!$E$4:$AA$98,12,FALSE),VLOOKUP($E44,Step!$E$5:$AG$99,24,FALSE))</f>
        <v>61535832.619999997</v>
      </c>
      <c r="S44" s="93">
        <f>IF($I$1=1,VLOOKUP($E44,'2.จัดสรรหลังSK'!$E$4:$AA$98,13,FALSE),VLOOKUP($E44,Step!$E$5:$AG$99,29,FALSE))</f>
        <v>12061012.26</v>
      </c>
      <c r="T44" s="65">
        <f>IF($H$111&lt;&gt;0,ROUND(ROUND(M44*I44,4)*Q44,2),VLOOKUP($E44,'2.จัดสรรหลังSK'!$E$4:$R$98,14,FALSE))</f>
        <v>23542517.350000001</v>
      </c>
      <c r="U44" s="93">
        <f>VLOOKUP($E44,'2.จัดสรรหลังSK'!$E$4:$S$98,15,FALSE)</f>
        <v>587809.92000000004</v>
      </c>
      <c r="V44" s="93">
        <f>VLOOKUP($E44,'2.จัดสรรหลังSK'!$E$4:$T$98,16,FALSE)</f>
        <v>0</v>
      </c>
      <c r="W44" s="93">
        <f>VLOOKUP($E44,'2.จัดสรรหลังSK'!$E$4:$U$98,17,FALSE)</f>
        <v>0</v>
      </c>
      <c r="X44" s="8">
        <f t="shared" si="21"/>
        <v>97727172.149999991</v>
      </c>
      <c r="Y44" s="8">
        <f>VLOOKUP($E44,'2.จัดสรรหลังSK'!$E$4:$W$98,19,FALSE)</f>
        <v>35160113</v>
      </c>
      <c r="Z44" s="93">
        <f t="shared" si="22"/>
        <v>62567059.149999999</v>
      </c>
      <c r="AA44" s="66">
        <v>0</v>
      </c>
      <c r="AB44" s="96">
        <f t="shared" si="23"/>
        <v>62567059.149999999</v>
      </c>
      <c r="AC44" s="8">
        <f>VLOOKUP($E44,'2.จัดสรรหลังSK'!$E$4:$AA$98,23,FALSE)</f>
        <v>55117200.899999999</v>
      </c>
      <c r="AD44" s="8">
        <f>VLOOKUP($E44,'2.จัดสรรหลังSK'!$E$4:$AB$98,24,FALSE)</f>
        <v>52216295.590000004</v>
      </c>
      <c r="AE44" s="8">
        <f t="shared" si="24"/>
        <v>7449858.25</v>
      </c>
      <c r="AF44" s="8">
        <f t="shared" si="25"/>
        <v>10350763.560000001</v>
      </c>
      <c r="AG44" s="97" t="str">
        <f t="shared" si="26"/>
        <v>ผ่าน</v>
      </c>
      <c r="AH44" s="8">
        <f t="shared" si="16"/>
        <v>55117200.899999999</v>
      </c>
      <c r="AI44" s="98"/>
      <c r="AJ44" s="8">
        <f t="shared" si="27"/>
        <v>62567059.149999999</v>
      </c>
      <c r="AK44" s="98"/>
      <c r="AL44" s="98"/>
      <c r="AM44" s="8">
        <f t="shared" si="28"/>
        <v>0</v>
      </c>
      <c r="AN44" s="8">
        <f t="shared" si="29"/>
        <v>62567059.149999999</v>
      </c>
      <c r="AO44" s="8">
        <f t="shared" si="30"/>
        <v>62567059.149999999</v>
      </c>
    </row>
    <row r="45" spans="1:41" ht="14.25" customHeight="1" outlineLevel="2">
      <c r="A45" s="92">
        <v>526</v>
      </c>
      <c r="B45" s="60" t="s">
        <v>26</v>
      </c>
      <c r="C45" s="60" t="s">
        <v>59</v>
      </c>
      <c r="D45" s="60" t="s">
        <v>60</v>
      </c>
      <c r="E45" s="60" t="s">
        <v>87</v>
      </c>
      <c r="F45" s="60" t="s">
        <v>88</v>
      </c>
      <c r="G45" s="93">
        <v>1.1000000000000001</v>
      </c>
      <c r="H45" s="71"/>
      <c r="I45" s="65">
        <f t="shared" si="19"/>
        <v>1.1000000000000001</v>
      </c>
      <c r="J45" s="94">
        <f>VLOOKUP($E45,'2.จัดสรรหลังSK'!$E$4:$H$98,4,FALSE)</f>
        <v>88530</v>
      </c>
      <c r="K45" s="8">
        <f>IF($I$1=1,VLOOKUP($E45,'2.จัดสรรหลังSK'!$E$4:$AA$98,5,FALSE),VLOOKUP($E45,Step!$E$5:$AG$99,23,FALSE))</f>
        <v>1105.4140047441545</v>
      </c>
      <c r="L45" s="8">
        <f>IF($I$1=1,VLOOKUP($E45,'2.จัดสรรหลังSK'!$E$4:$AA$98,6,FALSE),VLOOKUP($E45,Step!$E$5:$AG$99,28,FALSE))</f>
        <v>216.6609484920366</v>
      </c>
      <c r="M45" s="95">
        <v>5100.3122999999996</v>
      </c>
      <c r="N45" s="95">
        <v>77.556100000000001</v>
      </c>
      <c r="O45" s="95">
        <v>0</v>
      </c>
      <c r="P45" s="95">
        <v>0</v>
      </c>
      <c r="Q45" s="93">
        <f t="shared" si="20"/>
        <v>7038.3311424701133</v>
      </c>
      <c r="R45" s="93">
        <f>IF($I$1=1,VLOOKUP($E45,'2.จัดสรรหลังSK'!$E$4:$AA$98,12,FALSE),VLOOKUP($E45,Step!$E$5:$AG$99,24,FALSE))</f>
        <v>97862301.840000004</v>
      </c>
      <c r="S45" s="93">
        <f>IF($I$1=1,VLOOKUP($E45,'2.จัดสรรหลังSK'!$E$4:$AA$98,13,FALSE),VLOOKUP($E45,Step!$E$5:$AG$99,29,FALSE))</f>
        <v>19180993.77</v>
      </c>
      <c r="T45" s="65">
        <f>IF($H$111&lt;&gt;0,ROUND(ROUND(M45*I45,4)*Q45,2),VLOOKUP($E45,'2.จัดสรรหลังSK'!$E$4:$R$98,14,FALSE))</f>
        <v>39487455.369999997</v>
      </c>
      <c r="U45" s="93">
        <f>VLOOKUP($E45,'2.จัดสรรหลังSK'!$E$4:$S$98,15,FALSE)</f>
        <v>744538.56</v>
      </c>
      <c r="V45" s="93">
        <f>VLOOKUP($E45,'2.จัดสรรหลังSK'!$E$4:$T$98,16,FALSE)</f>
        <v>0</v>
      </c>
      <c r="W45" s="93">
        <f>VLOOKUP($E45,'2.จัดสรรหลังSK'!$E$4:$U$98,17,FALSE)</f>
        <v>0</v>
      </c>
      <c r="X45" s="8">
        <f t="shared" si="21"/>
        <v>157275289.53999999</v>
      </c>
      <c r="Y45" s="8">
        <f>VLOOKUP($E45,'2.จัดสรรหลังSK'!$E$4:$W$98,19,FALSE)</f>
        <v>55750226</v>
      </c>
      <c r="Z45" s="93">
        <f t="shared" si="22"/>
        <v>101525063.54000001</v>
      </c>
      <c r="AA45" s="66">
        <v>0</v>
      </c>
      <c r="AB45" s="96">
        <f t="shared" si="23"/>
        <v>101525063.54000001</v>
      </c>
      <c r="AC45" s="8">
        <f>VLOOKUP($E45,'2.จัดสรรหลังSK'!$E$4:$AA$98,23,FALSE)</f>
        <v>87957879.370000005</v>
      </c>
      <c r="AD45" s="8">
        <f>VLOOKUP($E45,'2.จัดสรรหลังSK'!$E$4:$AB$98,24,FALSE)</f>
        <v>83328517.299999997</v>
      </c>
      <c r="AE45" s="8">
        <f t="shared" si="24"/>
        <v>13567184.17</v>
      </c>
      <c r="AF45" s="8">
        <f t="shared" si="25"/>
        <v>18196546.239999998</v>
      </c>
      <c r="AG45" s="97" t="str">
        <f t="shared" si="26"/>
        <v>ผ่าน</v>
      </c>
      <c r="AH45" s="8">
        <f t="shared" si="16"/>
        <v>87957879.370000005</v>
      </c>
      <c r="AI45" s="98"/>
      <c r="AJ45" s="8">
        <f t="shared" si="27"/>
        <v>101525063.54000001</v>
      </c>
      <c r="AK45" s="98"/>
      <c r="AL45" s="98"/>
      <c r="AM45" s="8">
        <f t="shared" si="28"/>
        <v>0</v>
      </c>
      <c r="AN45" s="8">
        <f t="shared" si="29"/>
        <v>101525063.54000001</v>
      </c>
      <c r="AO45" s="8">
        <f t="shared" si="30"/>
        <v>101525063.54000001</v>
      </c>
    </row>
    <row r="46" spans="1:41" ht="14.25" customHeight="1" outlineLevel="2">
      <c r="A46" s="92">
        <v>527</v>
      </c>
      <c r="B46" s="60" t="s">
        <v>26</v>
      </c>
      <c r="C46" s="60" t="s">
        <v>59</v>
      </c>
      <c r="D46" s="60" t="s">
        <v>60</v>
      </c>
      <c r="E46" s="60" t="s">
        <v>89</v>
      </c>
      <c r="F46" s="60" t="s">
        <v>90</v>
      </c>
      <c r="G46" s="93">
        <v>1.3</v>
      </c>
      <c r="H46" s="71"/>
      <c r="I46" s="65">
        <f t="shared" si="19"/>
        <v>1.3</v>
      </c>
      <c r="J46" s="94">
        <f>VLOOKUP($E46,'2.จัดสรรหลังSK'!$E$4:$H$98,4,FALSE)</f>
        <v>22510</v>
      </c>
      <c r="K46" s="8">
        <f>IF($I$1=1,VLOOKUP($E46,'2.จัดสรรหลังSK'!$E$4:$AA$98,5,FALSE),VLOOKUP($E46,Step!$E$5:$AG$99,23,FALSE))</f>
        <v>1534.6872141270546</v>
      </c>
      <c r="L46" s="8">
        <f>IF($I$1=1,VLOOKUP($E46,'2.จัดสรรหลังSK'!$E$4:$AA$98,6,FALSE),VLOOKUP($E46,Step!$E$5:$AG$99,28,FALSE))</f>
        <v>300.79842114615724</v>
      </c>
      <c r="M46" s="95">
        <v>1282.1799000000001</v>
      </c>
      <c r="N46" s="95">
        <v>8.1761999999999997</v>
      </c>
      <c r="O46" s="95">
        <v>0</v>
      </c>
      <c r="P46" s="95">
        <v>0</v>
      </c>
      <c r="Q46" s="93">
        <f t="shared" si="20"/>
        <v>7038.3311424701133</v>
      </c>
      <c r="R46" s="93">
        <f>IF($I$1=1,VLOOKUP($E46,'2.จัดสรรหลังSK'!$E$4:$AA$98,12,FALSE),VLOOKUP($E46,Step!$E$5:$AG$99,24,FALSE))</f>
        <v>34545809.189999998</v>
      </c>
      <c r="S46" s="93">
        <f>IF($I$1=1,VLOOKUP($E46,'2.จัดสรรหลังSK'!$E$4:$AA$98,13,FALSE),VLOOKUP($E46,Step!$E$5:$AG$99,29,FALSE))</f>
        <v>6770972.46</v>
      </c>
      <c r="T46" s="65">
        <f>IF($H$111&lt;&gt;0,ROUND(ROUND(M46*I46,4)*Q46,2),VLOOKUP($E46,'2.จัดสรรหลังSK'!$E$4:$R$98,14,FALSE))</f>
        <v>11731728.939999999</v>
      </c>
      <c r="U46" s="93">
        <f>VLOOKUP($E46,'2.จัดสรรหลังSK'!$E$4:$S$98,15,FALSE)</f>
        <v>78491.520000000004</v>
      </c>
      <c r="V46" s="93">
        <f>VLOOKUP($E46,'2.จัดสรรหลังSK'!$E$4:$T$98,16,FALSE)</f>
        <v>0</v>
      </c>
      <c r="W46" s="93">
        <f>VLOOKUP($E46,'2.จัดสรรหลังSK'!$E$4:$U$98,17,FALSE)</f>
        <v>0</v>
      </c>
      <c r="X46" s="8">
        <f t="shared" si="21"/>
        <v>53127002.109999999</v>
      </c>
      <c r="Y46" s="8">
        <f>VLOOKUP($E46,'2.จัดสรรหลังSK'!$E$4:$W$98,19,FALSE)</f>
        <v>18750690</v>
      </c>
      <c r="Z46" s="93">
        <f t="shared" si="22"/>
        <v>34376312.109999999</v>
      </c>
      <c r="AA46" s="66">
        <v>0</v>
      </c>
      <c r="AB46" s="96">
        <f t="shared" si="23"/>
        <v>34376312.109999999</v>
      </c>
      <c r="AC46" s="8">
        <f>VLOOKUP($E46,'2.จัดสรรหลังSK'!$E$4:$AA$98,23,FALSE)</f>
        <v>26027551.149999999</v>
      </c>
      <c r="AD46" s="8">
        <f>VLOOKUP($E46,'2.จัดสรรหลังSK'!$E$4:$AB$98,24,FALSE)</f>
        <v>24657680.030000001</v>
      </c>
      <c r="AE46" s="8">
        <f t="shared" si="24"/>
        <v>8348760.96</v>
      </c>
      <c r="AF46" s="8">
        <f t="shared" si="25"/>
        <v>9718632.0800000001</v>
      </c>
      <c r="AG46" s="97" t="str">
        <f t="shared" si="26"/>
        <v>ผ่าน</v>
      </c>
      <c r="AH46" s="8">
        <f t="shared" si="16"/>
        <v>26027551.149999999</v>
      </c>
      <c r="AI46" s="98"/>
      <c r="AJ46" s="8">
        <f t="shared" si="27"/>
        <v>34376312.109999999</v>
      </c>
      <c r="AK46" s="98"/>
      <c r="AL46" s="98"/>
      <c r="AM46" s="8">
        <f t="shared" si="28"/>
        <v>0</v>
      </c>
      <c r="AN46" s="8">
        <f t="shared" si="29"/>
        <v>34376312.109999999</v>
      </c>
      <c r="AO46" s="8">
        <f t="shared" si="30"/>
        <v>34376312.109999999</v>
      </c>
    </row>
    <row r="47" spans="1:41" ht="14.25" customHeight="1" outlineLevel="2">
      <c r="A47" s="92">
        <v>528</v>
      </c>
      <c r="B47" s="60" t="s">
        <v>26</v>
      </c>
      <c r="C47" s="60" t="s">
        <v>59</v>
      </c>
      <c r="D47" s="60" t="s">
        <v>60</v>
      </c>
      <c r="E47" s="60" t="s">
        <v>91</v>
      </c>
      <c r="F47" s="60" t="s">
        <v>92</v>
      </c>
      <c r="G47" s="93">
        <v>1.3</v>
      </c>
      <c r="H47" s="71"/>
      <c r="I47" s="65">
        <f t="shared" si="19"/>
        <v>1.3</v>
      </c>
      <c r="J47" s="94">
        <f>VLOOKUP($E47,'2.จัดสรรหลังSK'!$E$4:$H$98,4,FALSE)</f>
        <v>21071</v>
      </c>
      <c r="K47" s="8">
        <f>IF($I$1=1,VLOOKUP($E47,'2.จัดสรรหลังSK'!$E$4:$AA$98,5,FALSE),VLOOKUP($E47,Step!$E$5:$AG$99,23,FALSE))</f>
        <v>1553.7363352474965</v>
      </c>
      <c r="L47" s="8">
        <f>IF($I$1=1,VLOOKUP($E47,'2.จัดสรรหลังSK'!$E$4:$AA$98,6,FALSE),VLOOKUP($E47,Step!$E$5:$AG$99,28,FALSE))</f>
        <v>304.53204546533152</v>
      </c>
      <c r="M47" s="95">
        <v>1011.5075000000001</v>
      </c>
      <c r="N47" s="95">
        <v>17.324999999999999</v>
      </c>
      <c r="O47" s="95">
        <v>0</v>
      </c>
      <c r="P47" s="95">
        <v>0</v>
      </c>
      <c r="Q47" s="93">
        <f t="shared" si="20"/>
        <v>7038.3311424701133</v>
      </c>
      <c r="R47" s="93">
        <f>IF($I$1=1,VLOOKUP($E47,'2.จัดสรรหลังSK'!$E$4:$AA$98,12,FALSE),VLOOKUP($E47,Step!$E$5:$AG$99,24,FALSE))</f>
        <v>32738778.32</v>
      </c>
      <c r="S47" s="93">
        <f>IF($I$1=1,VLOOKUP($E47,'2.จัดสรรหลังSK'!$E$4:$AA$98,13,FALSE),VLOOKUP($E47,Step!$E$5:$AG$99,29,FALSE))</f>
        <v>6416794.7300000004</v>
      </c>
      <c r="T47" s="65">
        <f>IF($H$111&lt;&gt;0,ROUND(ROUND(M47*I47,4)*Q47,2),VLOOKUP($E47,'2.จัดสรรหลังSK'!$E$4:$R$98,14,FALSE))</f>
        <v>9255122.5099999998</v>
      </c>
      <c r="U47" s="93">
        <f>VLOOKUP($E47,'2.จัดสรรหลังSK'!$E$4:$S$98,15,FALSE)</f>
        <v>166320</v>
      </c>
      <c r="V47" s="93">
        <f>VLOOKUP($E47,'2.จัดสรรหลังSK'!$E$4:$T$98,16,FALSE)</f>
        <v>0</v>
      </c>
      <c r="W47" s="93">
        <f>VLOOKUP($E47,'2.จัดสรรหลังSK'!$E$4:$U$98,17,FALSE)</f>
        <v>0</v>
      </c>
      <c r="X47" s="8">
        <f t="shared" si="21"/>
        <v>48577015.559999995</v>
      </c>
      <c r="Y47" s="8">
        <f>VLOOKUP($E47,'2.จัดสรรหลังSK'!$E$4:$W$98,19,FALSE)</f>
        <v>23331628</v>
      </c>
      <c r="Z47" s="93">
        <f t="shared" si="22"/>
        <v>25245387.559999999</v>
      </c>
      <c r="AA47" s="66">
        <v>0</v>
      </c>
      <c r="AB47" s="96">
        <f t="shared" si="23"/>
        <v>25245387.559999999</v>
      </c>
      <c r="AC47" s="8">
        <f>VLOOKUP($E47,'2.จัดสรรหลังSK'!$E$4:$AA$98,23,FALSE)</f>
        <v>21771038.68</v>
      </c>
      <c r="AD47" s="8">
        <f>VLOOKUP($E47,'2.จัดสรรหลังSK'!$E$4:$AB$98,24,FALSE)</f>
        <v>20625194.539999999</v>
      </c>
      <c r="AE47" s="8">
        <f t="shared" si="24"/>
        <v>3474348.88</v>
      </c>
      <c r="AF47" s="8">
        <f t="shared" si="25"/>
        <v>4620193.0199999996</v>
      </c>
      <c r="AG47" s="97" t="str">
        <f t="shared" si="26"/>
        <v>ผ่าน</v>
      </c>
      <c r="AH47" s="8">
        <f t="shared" si="16"/>
        <v>21771038.68</v>
      </c>
      <c r="AI47" s="98"/>
      <c r="AJ47" s="8">
        <f t="shared" si="27"/>
        <v>25245387.559999999</v>
      </c>
      <c r="AK47" s="98"/>
      <c r="AL47" s="98"/>
      <c r="AM47" s="8">
        <f t="shared" si="28"/>
        <v>0</v>
      </c>
      <c r="AN47" s="8">
        <f t="shared" si="29"/>
        <v>25245387.559999999</v>
      </c>
      <c r="AO47" s="8">
        <f t="shared" si="30"/>
        <v>25245387.559999999</v>
      </c>
    </row>
    <row r="48" spans="1:41" ht="14.25" customHeight="1" outlineLevel="2">
      <c r="A48" s="92">
        <v>529</v>
      </c>
      <c r="B48" s="60" t="s">
        <v>26</v>
      </c>
      <c r="C48" s="60" t="s">
        <v>59</v>
      </c>
      <c r="D48" s="60" t="s">
        <v>60</v>
      </c>
      <c r="E48" s="60" t="s">
        <v>93</v>
      </c>
      <c r="F48" s="60" t="s">
        <v>94</v>
      </c>
      <c r="G48" s="93">
        <v>1.3</v>
      </c>
      <c r="H48" s="71"/>
      <c r="I48" s="65">
        <f t="shared" si="19"/>
        <v>1.3</v>
      </c>
      <c r="J48" s="94">
        <f>VLOOKUP($E48,'2.จัดสรรหลังSK'!$E$4:$H$98,4,FALSE)</f>
        <v>23839</v>
      </c>
      <c r="K48" s="8">
        <f>IF($I$1=1,VLOOKUP($E48,'2.จัดสรรหลังSK'!$E$4:$AA$98,5,FALSE),VLOOKUP($E48,Step!$E$5:$AG$99,23,FALSE))</f>
        <v>1519.1370049079242</v>
      </c>
      <c r="L48" s="8">
        <f>IF($I$1=1,VLOOKUP($E48,'2.จัดสรรหลังSK'!$E$4:$AA$98,6,FALSE),VLOOKUP($E48,Step!$E$5:$AG$99,28,FALSE))</f>
        <v>297.75058307814925</v>
      </c>
      <c r="M48" s="95">
        <v>1333.4483</v>
      </c>
      <c r="N48" s="95">
        <v>18.182600000000001</v>
      </c>
      <c r="O48" s="95">
        <v>0</v>
      </c>
      <c r="P48" s="95">
        <v>0</v>
      </c>
      <c r="Q48" s="93">
        <f t="shared" si="20"/>
        <v>7038.3311424701133</v>
      </c>
      <c r="R48" s="93">
        <f>IF($I$1=1,VLOOKUP($E48,'2.จัดสรรหลังSK'!$E$4:$AA$98,12,FALSE),VLOOKUP($E48,Step!$E$5:$AG$99,24,FALSE))</f>
        <v>36214707.060000002</v>
      </c>
      <c r="S48" s="93">
        <f>IF($I$1=1,VLOOKUP($E48,'2.จัดสรรหลังSK'!$E$4:$AA$98,13,FALSE),VLOOKUP($E48,Step!$E$5:$AG$99,29,FALSE))</f>
        <v>7098076.1500000004</v>
      </c>
      <c r="T48" s="65">
        <f>IF($H$111&lt;&gt;0,ROUND(ROUND(M48*I48,4)*Q48,2),VLOOKUP($E48,'2.จัดสรรหลังSK'!$E$4:$R$98,14,FALSE))</f>
        <v>12200825.970000001</v>
      </c>
      <c r="U48" s="93">
        <f>VLOOKUP($E48,'2.จัดสรรหลังSK'!$E$4:$S$98,15,FALSE)</f>
        <v>174552.95999999999</v>
      </c>
      <c r="V48" s="93">
        <f>VLOOKUP($E48,'2.จัดสรรหลังSK'!$E$4:$T$98,16,FALSE)</f>
        <v>0</v>
      </c>
      <c r="W48" s="93">
        <f>VLOOKUP($E48,'2.จัดสรรหลังSK'!$E$4:$U$98,17,FALSE)</f>
        <v>0</v>
      </c>
      <c r="X48" s="8">
        <f t="shared" si="21"/>
        <v>55688162.140000001</v>
      </c>
      <c r="Y48" s="8">
        <f>VLOOKUP($E48,'2.จัดสรรหลังSK'!$E$4:$W$98,19,FALSE)</f>
        <v>17037701</v>
      </c>
      <c r="Z48" s="93">
        <f t="shared" si="22"/>
        <v>38650461.140000001</v>
      </c>
      <c r="AA48" s="66">
        <v>0</v>
      </c>
      <c r="AB48" s="96">
        <f t="shared" si="23"/>
        <v>38650461.140000001</v>
      </c>
      <c r="AC48" s="8">
        <f>VLOOKUP($E48,'2.จัดสรรหลังSK'!$E$4:$AA$98,23,FALSE)</f>
        <v>28789075.140000001</v>
      </c>
      <c r="AD48" s="8">
        <f>VLOOKUP($E48,'2.จัดสรรหลังSK'!$E$4:$AB$98,24,FALSE)</f>
        <v>27273860.66</v>
      </c>
      <c r="AE48" s="8">
        <f t="shared" si="24"/>
        <v>9861386</v>
      </c>
      <c r="AF48" s="8">
        <f t="shared" si="25"/>
        <v>11376600.48</v>
      </c>
      <c r="AG48" s="97" t="str">
        <f t="shared" si="26"/>
        <v>ผ่าน</v>
      </c>
      <c r="AH48" s="8">
        <f t="shared" si="16"/>
        <v>28789075.140000001</v>
      </c>
      <c r="AI48" s="98"/>
      <c r="AJ48" s="8">
        <f t="shared" si="27"/>
        <v>38650461.140000001</v>
      </c>
      <c r="AK48" s="98"/>
      <c r="AL48" s="98"/>
      <c r="AM48" s="8">
        <f t="shared" si="28"/>
        <v>0</v>
      </c>
      <c r="AN48" s="8">
        <f t="shared" si="29"/>
        <v>38650461.140000001</v>
      </c>
      <c r="AO48" s="8">
        <f t="shared" si="30"/>
        <v>38650461.140000001</v>
      </c>
    </row>
    <row r="49" spans="1:41" ht="14.25" customHeight="1" outlineLevel="2">
      <c r="A49" s="92">
        <v>530</v>
      </c>
      <c r="B49" s="60" t="s">
        <v>26</v>
      </c>
      <c r="C49" s="60" t="s">
        <v>59</v>
      </c>
      <c r="D49" s="60" t="s">
        <v>60</v>
      </c>
      <c r="E49" s="60" t="s">
        <v>95</v>
      </c>
      <c r="F49" s="60" t="s">
        <v>96</v>
      </c>
      <c r="G49" s="93">
        <v>1.35</v>
      </c>
      <c r="H49" s="71"/>
      <c r="I49" s="65">
        <f t="shared" si="19"/>
        <v>1.35</v>
      </c>
      <c r="J49" s="94">
        <f>VLOOKUP($E49,'2.จัดสรรหลังSK'!$E$4:$H$98,4,FALSE)</f>
        <v>19516</v>
      </c>
      <c r="K49" s="8">
        <f>IF($I$1=1,VLOOKUP($E49,'2.จัดสรรหลังSK'!$E$4:$AA$98,5,FALSE),VLOOKUP($E49,Step!$E$5:$AG$99,23,FALSE))</f>
        <v>1573.0299979503998</v>
      </c>
      <c r="L49" s="8">
        <f>IF($I$1=1,VLOOKUP($E49,'2.จัดสรรหลังSK'!$E$4:$AA$98,6,FALSE),VLOOKUP($E49,Step!$E$5:$AG$99,28,FALSE))</f>
        <v>308.31360012297603</v>
      </c>
      <c r="M49" s="95">
        <v>1482.5989</v>
      </c>
      <c r="N49" s="95">
        <v>23.538900000000002</v>
      </c>
      <c r="O49" s="95">
        <v>0</v>
      </c>
      <c r="P49" s="95">
        <v>0</v>
      </c>
      <c r="Q49" s="93">
        <f t="shared" si="20"/>
        <v>7038.3311424701133</v>
      </c>
      <c r="R49" s="93">
        <f>IF($I$1=1,VLOOKUP($E49,'2.จัดสรรหลังSK'!$E$4:$AA$98,12,FALSE),VLOOKUP($E49,Step!$E$5:$AG$99,24,FALSE))</f>
        <v>30699253.440000001</v>
      </c>
      <c r="S49" s="93">
        <f>IF($I$1=1,VLOOKUP($E49,'2.จัดสรรหลังSK'!$E$4:$AA$98,13,FALSE),VLOOKUP($E49,Step!$E$5:$AG$99,29,FALSE))</f>
        <v>6017048.2199999997</v>
      </c>
      <c r="T49" s="65">
        <f>IF($H$111&lt;&gt;0,ROUND(ROUND(M49*I49,4)*Q49,2),VLOOKUP($E49,'2.จัดสรรหลังSK'!$E$4:$R$98,14,FALSE))</f>
        <v>14087279.6</v>
      </c>
      <c r="U49" s="93">
        <f>VLOOKUP($E49,'2.จัดสรรหลังSK'!$E$4:$S$98,15,FALSE)</f>
        <v>225973.44</v>
      </c>
      <c r="V49" s="93">
        <f>VLOOKUP($E49,'2.จัดสรรหลังSK'!$E$4:$T$98,16,FALSE)</f>
        <v>0</v>
      </c>
      <c r="W49" s="93">
        <f>VLOOKUP($E49,'2.จัดสรรหลังSK'!$E$4:$U$98,17,FALSE)</f>
        <v>0</v>
      </c>
      <c r="X49" s="8">
        <f t="shared" si="21"/>
        <v>51029554.700000003</v>
      </c>
      <c r="Y49" s="8">
        <f>VLOOKUP($E49,'2.จัดสรรหลังSK'!$E$4:$W$98,19,FALSE)</f>
        <v>20498226</v>
      </c>
      <c r="Z49" s="93">
        <f t="shared" si="22"/>
        <v>30531328.699999999</v>
      </c>
      <c r="AA49" s="66">
        <v>0</v>
      </c>
      <c r="AB49" s="96">
        <f t="shared" si="23"/>
        <v>30531328.699999999</v>
      </c>
      <c r="AC49" s="8">
        <f>VLOOKUP($E49,'2.จัดสรรหลังSK'!$E$4:$AA$98,23,FALSE)</f>
        <v>24335912.359999999</v>
      </c>
      <c r="AD49" s="8">
        <f>VLOOKUP($E49,'2.จัดสรรหลังSK'!$E$4:$AB$98,24,FALSE)</f>
        <v>23055074.870000001</v>
      </c>
      <c r="AE49" s="8">
        <f t="shared" si="24"/>
        <v>6195416.3399999999</v>
      </c>
      <c r="AF49" s="8">
        <f t="shared" si="25"/>
        <v>7476253.8300000001</v>
      </c>
      <c r="AG49" s="97" t="str">
        <f t="shared" si="26"/>
        <v>ผ่าน</v>
      </c>
      <c r="AH49" s="8">
        <f t="shared" si="16"/>
        <v>24335912.359999999</v>
      </c>
      <c r="AI49" s="98"/>
      <c r="AJ49" s="8">
        <f t="shared" si="27"/>
        <v>30531328.699999999</v>
      </c>
      <c r="AK49" s="98"/>
      <c r="AL49" s="98"/>
      <c r="AM49" s="8">
        <f t="shared" si="28"/>
        <v>0</v>
      </c>
      <c r="AN49" s="8">
        <f t="shared" si="29"/>
        <v>30531328.699999999</v>
      </c>
      <c r="AO49" s="8">
        <f t="shared" si="30"/>
        <v>30531328.699999999</v>
      </c>
    </row>
    <row r="50" spans="1:41" ht="14.25" customHeight="1" outlineLevel="2">
      <c r="A50" s="92">
        <v>531</v>
      </c>
      <c r="B50" s="60" t="s">
        <v>26</v>
      </c>
      <c r="C50" s="60" t="s">
        <v>59</v>
      </c>
      <c r="D50" s="60" t="s">
        <v>60</v>
      </c>
      <c r="E50" s="60" t="s">
        <v>97</v>
      </c>
      <c r="F50" s="60" t="s">
        <v>98</v>
      </c>
      <c r="G50" s="93">
        <v>1.1000000000000001</v>
      </c>
      <c r="H50" s="71"/>
      <c r="I50" s="65">
        <f t="shared" si="19"/>
        <v>1.1000000000000001</v>
      </c>
      <c r="J50" s="94">
        <f>VLOOKUP($E50,'2.จัดสรรหลังSK'!$E$4:$H$98,4,FALSE)</f>
        <v>98766</v>
      </c>
      <c r="K50" s="8">
        <f>IF($I$1=1,VLOOKUP($E50,'2.จัดสรรหลังSK'!$E$4:$AA$98,5,FALSE),VLOOKUP($E50,Step!$E$5:$AG$99,23,FALSE))</f>
        <v>1075.1822798331409</v>
      </c>
      <c r="L50" s="8">
        <f>IF($I$1=1,VLOOKUP($E50,'2.จัดสรรหลังSK'!$E$4:$AA$98,6,FALSE),VLOOKUP($E50,Step!$E$5:$AG$99,28,FALSE))</f>
        <v>210.73553581191908</v>
      </c>
      <c r="M50" s="95">
        <v>6844.8869000000004</v>
      </c>
      <c r="N50" s="95">
        <v>155.17359999999999</v>
      </c>
      <c r="O50" s="95">
        <v>42.033100000000005</v>
      </c>
      <c r="P50" s="95">
        <v>0</v>
      </c>
      <c r="Q50" s="93">
        <f t="shared" si="20"/>
        <v>7038.3311424701133</v>
      </c>
      <c r="R50" s="93">
        <f>IF($I$1=1,VLOOKUP($E50,'2.จัดสรรหลังSK'!$E$4:$AA$98,12,FALSE),VLOOKUP($E50,Step!$E$5:$AG$99,24,FALSE))</f>
        <v>106191453.05</v>
      </c>
      <c r="S50" s="93">
        <f>IF($I$1=1,VLOOKUP($E50,'2.จัดสรรหลังSK'!$E$4:$AA$98,13,FALSE),VLOOKUP($E50,Step!$E$5:$AG$99,29,FALSE))</f>
        <v>20813505.93</v>
      </c>
      <c r="T50" s="65">
        <f>IF($H$111&lt;&gt;0,ROUND(ROUND(M50*I50,4)*Q50,2),VLOOKUP($E50,'2.จัดสรรหลังSK'!$E$4:$R$98,14,FALSE))</f>
        <v>52994238.759999998</v>
      </c>
      <c r="U50" s="93">
        <f>VLOOKUP($E50,'2.จัดสรรหลังSK'!$E$4:$S$98,15,FALSE)</f>
        <v>1489666.56</v>
      </c>
      <c r="V50" s="93">
        <f>VLOOKUP($E50,'2.จัดสรรหลังSK'!$E$4:$T$98,16,FALSE)</f>
        <v>378297.9</v>
      </c>
      <c r="W50" s="93">
        <f>VLOOKUP($E50,'2.จัดสรรหลังSK'!$E$4:$U$98,17,FALSE)</f>
        <v>0</v>
      </c>
      <c r="X50" s="8">
        <f t="shared" si="21"/>
        <v>181867162.19999999</v>
      </c>
      <c r="Y50" s="8">
        <f>VLOOKUP($E50,'2.จัดสรรหลังSK'!$E$4:$W$98,19,FALSE)</f>
        <v>64147885</v>
      </c>
      <c r="Z50" s="93">
        <f t="shared" si="22"/>
        <v>117719277.2</v>
      </c>
      <c r="AA50" s="66">
        <v>0</v>
      </c>
      <c r="AB50" s="96">
        <f t="shared" si="23"/>
        <v>117719277.2</v>
      </c>
      <c r="AC50" s="8">
        <f>VLOOKUP($E50,'2.จัดสรรหลังSK'!$E$4:$AA$98,23,FALSE)</f>
        <v>109914667.83</v>
      </c>
      <c r="AD50" s="8">
        <f>VLOOKUP($E50,'2.จัดสรรหลังSK'!$E$4:$AB$98,24,FALSE)</f>
        <v>104129685.31999999</v>
      </c>
      <c r="AE50" s="8">
        <f t="shared" si="24"/>
        <v>7804609.3700000001</v>
      </c>
      <c r="AF50" s="8">
        <f t="shared" si="25"/>
        <v>13589591.880000001</v>
      </c>
      <c r="AG50" s="97" t="str">
        <f t="shared" si="26"/>
        <v>ผ่าน</v>
      </c>
      <c r="AH50" s="8">
        <f t="shared" si="16"/>
        <v>109914667.83</v>
      </c>
      <c r="AI50" s="98"/>
      <c r="AJ50" s="8">
        <f t="shared" si="27"/>
        <v>117719277.2</v>
      </c>
      <c r="AK50" s="98"/>
      <c r="AL50" s="98"/>
      <c r="AM50" s="8">
        <f t="shared" si="28"/>
        <v>0</v>
      </c>
      <c r="AN50" s="8">
        <f t="shared" si="29"/>
        <v>117719277.2</v>
      </c>
      <c r="AO50" s="8">
        <f t="shared" si="30"/>
        <v>117719277.2</v>
      </c>
    </row>
    <row r="51" spans="1:41" ht="14.25" customHeight="1" outlineLevel="2">
      <c r="A51" s="92">
        <v>532</v>
      </c>
      <c r="B51" s="60" t="s">
        <v>26</v>
      </c>
      <c r="C51" s="60" t="s">
        <v>59</v>
      </c>
      <c r="D51" s="60" t="s">
        <v>60</v>
      </c>
      <c r="E51" s="60" t="s">
        <v>99</v>
      </c>
      <c r="F51" s="60" t="s">
        <v>100</v>
      </c>
      <c r="G51" s="93">
        <v>1.35</v>
      </c>
      <c r="H51" s="71"/>
      <c r="I51" s="65">
        <f t="shared" si="19"/>
        <v>1.35</v>
      </c>
      <c r="J51" s="94">
        <f>VLOOKUP($E51,'2.จัดสรรหลังSK'!$E$4:$H$98,4,FALSE)</f>
        <v>18370</v>
      </c>
      <c r="K51" s="8">
        <f>IF($I$1=1,VLOOKUP($E51,'2.จัดสรรหลังSK'!$E$4:$AA$98,5,FALSE),VLOOKUP($E51,Step!$E$5:$AG$99,23,FALSE))</f>
        <v>1581.6316657593902</v>
      </c>
      <c r="L51" s="8">
        <f>IF($I$1=1,VLOOKUP($E51,'2.จัดสรรหลังSK'!$E$4:$AA$98,6,FALSE),VLOOKUP($E51,Step!$E$5:$AG$99,28,FALSE))</f>
        <v>309.99952531301034</v>
      </c>
      <c r="M51" s="95">
        <v>940.37959999999998</v>
      </c>
      <c r="N51" s="95">
        <v>8.8940999999999999</v>
      </c>
      <c r="O51" s="95">
        <v>0</v>
      </c>
      <c r="P51" s="95">
        <v>0</v>
      </c>
      <c r="Q51" s="93">
        <f t="shared" si="20"/>
        <v>7038.3311424701133</v>
      </c>
      <c r="R51" s="93">
        <f>IF($I$1=1,VLOOKUP($E51,'2.จัดสรรหลังSK'!$E$4:$AA$98,12,FALSE),VLOOKUP($E51,Step!$E$5:$AG$99,24,FALSE))</f>
        <v>29054573.699999999</v>
      </c>
      <c r="S51" s="93">
        <f>IF($I$1=1,VLOOKUP($E51,'2.จัดสรรหลังSK'!$E$4:$AA$98,13,FALSE),VLOOKUP($E51,Step!$E$5:$AG$99,29,FALSE))</f>
        <v>5694691.2800000003</v>
      </c>
      <c r="T51" s="65">
        <f>IF($H$111&lt;&gt;0,ROUND(ROUND(M51*I51,4)*Q51,2),VLOOKUP($E51,'2.จัดสรรหลังSK'!$E$4:$R$98,14,FALSE))</f>
        <v>8935249.3599999994</v>
      </c>
      <c r="U51" s="93">
        <f>VLOOKUP($E51,'2.จัดสรรหลังSK'!$E$4:$S$98,15,FALSE)</f>
        <v>85383.360000000001</v>
      </c>
      <c r="V51" s="93">
        <f>VLOOKUP($E51,'2.จัดสรรหลังSK'!$E$4:$T$98,16,FALSE)</f>
        <v>0</v>
      </c>
      <c r="W51" s="93">
        <f>VLOOKUP($E51,'2.จัดสรรหลังSK'!$E$4:$U$98,17,FALSE)</f>
        <v>0</v>
      </c>
      <c r="X51" s="8">
        <f t="shared" si="21"/>
        <v>43769897.699999996</v>
      </c>
      <c r="Y51" s="8">
        <f>VLOOKUP($E51,'2.จัดสรรหลังSK'!$E$4:$W$98,19,FALSE)</f>
        <v>13969349</v>
      </c>
      <c r="Z51" s="93">
        <f t="shared" si="22"/>
        <v>29800548.699999999</v>
      </c>
      <c r="AA51" s="66">
        <v>0</v>
      </c>
      <c r="AB51" s="96">
        <f t="shared" si="23"/>
        <v>29800548.699999999</v>
      </c>
      <c r="AC51" s="8">
        <f>VLOOKUP($E51,'2.จัดสรรหลังSK'!$E$4:$AA$98,23,FALSE)</f>
        <v>22486734.449999999</v>
      </c>
      <c r="AD51" s="8">
        <f>VLOOKUP($E51,'2.จัดสรรหลังSK'!$E$4:$AB$98,24,FALSE)</f>
        <v>21303222.109999999</v>
      </c>
      <c r="AE51" s="8">
        <f t="shared" si="24"/>
        <v>7313814.25</v>
      </c>
      <c r="AF51" s="8">
        <f t="shared" si="25"/>
        <v>8497326.5899999999</v>
      </c>
      <c r="AG51" s="97" t="str">
        <f t="shared" si="26"/>
        <v>ผ่าน</v>
      </c>
      <c r="AH51" s="8">
        <f t="shared" si="16"/>
        <v>22486734.449999999</v>
      </c>
      <c r="AI51" s="98"/>
      <c r="AJ51" s="8">
        <f t="shared" si="27"/>
        <v>29800548.699999999</v>
      </c>
      <c r="AK51" s="98"/>
      <c r="AL51" s="98"/>
      <c r="AM51" s="8">
        <f t="shared" si="28"/>
        <v>0</v>
      </c>
      <c r="AN51" s="8">
        <f t="shared" si="29"/>
        <v>29800548.699999999</v>
      </c>
      <c r="AO51" s="8">
        <f t="shared" si="30"/>
        <v>29800548.699999999</v>
      </c>
    </row>
    <row r="52" spans="1:41" ht="14.25" customHeight="1" outlineLevel="2">
      <c r="A52" s="92">
        <v>533</v>
      </c>
      <c r="B52" s="104" t="s">
        <v>26</v>
      </c>
      <c r="C52" s="60" t="s">
        <v>59</v>
      </c>
      <c r="D52" s="104" t="s">
        <v>60</v>
      </c>
      <c r="E52" s="104" t="s">
        <v>101</v>
      </c>
      <c r="F52" s="104" t="s">
        <v>102</v>
      </c>
      <c r="G52" s="93">
        <v>1.35</v>
      </c>
      <c r="H52" s="106"/>
      <c r="I52" s="65">
        <f t="shared" si="19"/>
        <v>1.35</v>
      </c>
      <c r="J52" s="94">
        <f>VLOOKUP($E52,'2.จัดสรรหลังSK'!$E$4:$H$98,4,FALSE)</f>
        <v>19192</v>
      </c>
      <c r="K52" s="8">
        <f>IF($I$1=1,VLOOKUP($E52,'2.จัดสรรหลังSK'!$E$4:$AA$98,5,FALSE),VLOOKUP($E52,Step!$E$5:$AG$99,23,FALSE))</f>
        <v>1575.3577245727386</v>
      </c>
      <c r="L52" s="8">
        <f>IF($I$1=1,VLOOKUP($E52,'2.จัดสรรหลังSK'!$E$4:$AA$98,6,FALSE),VLOOKUP($E52,Step!$E$5:$AG$99,28,FALSE))</f>
        <v>308.76983378491042</v>
      </c>
      <c r="M52" s="95">
        <v>727.15110000000004</v>
      </c>
      <c r="N52" s="95">
        <v>17.854199999999999</v>
      </c>
      <c r="O52" s="95">
        <v>0</v>
      </c>
      <c r="P52" s="95">
        <v>0</v>
      </c>
      <c r="Q52" s="93">
        <f t="shared" si="20"/>
        <v>7038.3311424701133</v>
      </c>
      <c r="R52" s="93">
        <f>IF($I$1=1,VLOOKUP($E52,'2.จัดสรรหลังSK'!$E$4:$AA$98,12,FALSE),VLOOKUP($E52,Step!$E$5:$AG$99,24,FALSE))</f>
        <v>30234265.449999999</v>
      </c>
      <c r="S52" s="93">
        <f>IF($I$1=1,VLOOKUP($E52,'2.จัดสรรหลังSK'!$E$4:$AA$98,13,FALSE),VLOOKUP($E52,Step!$E$5:$AG$99,29,FALSE))</f>
        <v>5925910.6500000004</v>
      </c>
      <c r="T52" s="65">
        <f>IF($H$111&lt;&gt;0,ROUND(ROUND(M52*I52,4)*Q52,2),VLOOKUP($E52,'2.จัดสรรหลังSK'!$E$4:$R$98,14,FALSE))</f>
        <v>6909205.9199999999</v>
      </c>
      <c r="U52" s="93">
        <f>VLOOKUP($E52,'2.จัดสรรหลังSK'!$E$4:$S$98,15,FALSE)</f>
        <v>171400.32000000001</v>
      </c>
      <c r="V52" s="93">
        <f>VLOOKUP($E52,'2.จัดสรรหลังSK'!$E$4:$T$98,16,FALSE)</f>
        <v>0</v>
      </c>
      <c r="W52" s="93">
        <f>VLOOKUP($E52,'2.จัดสรรหลังSK'!$E$4:$U$98,17,FALSE)</f>
        <v>0</v>
      </c>
      <c r="X52" s="8">
        <f t="shared" si="21"/>
        <v>43240782.340000004</v>
      </c>
      <c r="Y52" s="8">
        <f>VLOOKUP($E52,'2.จัดสรรหลังSK'!$E$4:$W$98,19,FALSE)</f>
        <v>14357904</v>
      </c>
      <c r="Z52" s="93">
        <f t="shared" si="22"/>
        <v>28882878.34</v>
      </c>
      <c r="AA52" s="66">
        <v>0</v>
      </c>
      <c r="AB52" s="96">
        <f t="shared" si="23"/>
        <v>28882878.34</v>
      </c>
      <c r="AC52" s="8">
        <f>VLOOKUP($E52,'2.จัดสรรหลังSK'!$E$4:$AA$98,23,FALSE)</f>
        <v>21123306.710000001</v>
      </c>
      <c r="AD52" s="8">
        <f>VLOOKUP($E52,'2.จัดสรรหลังSK'!$E$4:$AB$98,24,FALSE)</f>
        <v>20011553.719999999</v>
      </c>
      <c r="AE52" s="8">
        <f t="shared" si="24"/>
        <v>7759571.6299999999</v>
      </c>
      <c r="AF52" s="8">
        <f t="shared" si="25"/>
        <v>8871324.6199999992</v>
      </c>
      <c r="AG52" s="97" t="str">
        <f t="shared" si="26"/>
        <v>ผ่าน</v>
      </c>
      <c r="AH52" s="8">
        <f t="shared" ref="AH52:AH66" si="31">IF(AND(AB52&gt;AD52,AB52&lt;AC52),AB52,AC52)</f>
        <v>21123306.710000001</v>
      </c>
      <c r="AI52" s="112"/>
      <c r="AJ52" s="8">
        <f t="shared" si="27"/>
        <v>28882878.34</v>
      </c>
      <c r="AK52" s="112"/>
      <c r="AL52" s="112"/>
      <c r="AM52" s="8">
        <f t="shared" si="28"/>
        <v>0</v>
      </c>
      <c r="AN52" s="8">
        <f t="shared" si="29"/>
        <v>28882878.34</v>
      </c>
      <c r="AO52" s="8">
        <f t="shared" si="30"/>
        <v>28882878.34</v>
      </c>
    </row>
    <row r="53" spans="1:41" ht="14.25" customHeight="1" outlineLevel="1">
      <c r="A53" s="172"/>
      <c r="B53" s="173"/>
      <c r="C53" s="104"/>
      <c r="D53" s="174" t="s">
        <v>265</v>
      </c>
      <c r="E53" s="173"/>
      <c r="F53" s="173"/>
      <c r="G53" s="175"/>
      <c r="H53" s="176"/>
      <c r="I53" s="177"/>
      <c r="J53" s="178">
        <f t="shared" ref="J53:AF53" si="32">SUBTOTAL(9,J32:J52)</f>
        <v>1159058</v>
      </c>
      <c r="K53" s="179">
        <f t="shared" si="32"/>
        <v>28478.180085558255</v>
      </c>
      <c r="L53" s="179">
        <f t="shared" si="32"/>
        <v>5581.7182360041579</v>
      </c>
      <c r="M53" s="180">
        <f t="shared" si="32"/>
        <v>179445.75459999999</v>
      </c>
      <c r="N53" s="180">
        <f t="shared" si="32"/>
        <v>3970.0702000000001</v>
      </c>
      <c r="O53" s="180">
        <f t="shared" si="32"/>
        <v>2692.0107999999991</v>
      </c>
      <c r="P53" s="180">
        <f t="shared" si="32"/>
        <v>397.06099999999992</v>
      </c>
      <c r="Q53" s="175">
        <f t="shared" si="32"/>
        <v>147804.95399187235</v>
      </c>
      <c r="R53" s="175">
        <f t="shared" si="32"/>
        <v>1355554312.23</v>
      </c>
      <c r="S53" s="175">
        <f t="shared" si="32"/>
        <v>265688404.29000002</v>
      </c>
      <c r="T53" s="177">
        <f t="shared" si="32"/>
        <v>1334084228.1999998</v>
      </c>
      <c r="U53" s="175">
        <f t="shared" si="32"/>
        <v>38112673.920000009</v>
      </c>
      <c r="V53" s="175">
        <f t="shared" si="32"/>
        <v>24228097.199999999</v>
      </c>
      <c r="W53" s="175">
        <f t="shared" si="32"/>
        <v>4764732</v>
      </c>
      <c r="X53" s="179">
        <f t="shared" si="32"/>
        <v>3022432447.8399997</v>
      </c>
      <c r="Y53" s="179">
        <f t="shared" si="32"/>
        <v>1297818300</v>
      </c>
      <c r="Z53" s="175">
        <f t="shared" si="32"/>
        <v>1724614147.8400002</v>
      </c>
      <c r="AA53" s="181">
        <f t="shared" si="32"/>
        <v>9825763.0099999998</v>
      </c>
      <c r="AB53" s="182">
        <f t="shared" si="32"/>
        <v>1734439910.8500001</v>
      </c>
      <c r="AC53" s="179">
        <f t="shared" si="32"/>
        <v>1538110212.0599999</v>
      </c>
      <c r="AD53" s="179">
        <f t="shared" si="32"/>
        <v>1456683358.8199995</v>
      </c>
      <c r="AE53" s="179">
        <f t="shared" si="32"/>
        <v>196329698.78999999</v>
      </c>
      <c r="AF53" s="179">
        <f t="shared" si="32"/>
        <v>277756552.03000003</v>
      </c>
      <c r="AG53" s="183"/>
      <c r="AH53" s="179">
        <f t="shared" ref="AH53:AO53" si="33">SUBTOTAL(9,AH32:AH52)</f>
        <v>1538110212.0599999</v>
      </c>
      <c r="AI53" s="184">
        <f t="shared" si="33"/>
        <v>0</v>
      </c>
      <c r="AJ53" s="179">
        <f t="shared" si="33"/>
        <v>1734439910.8500001</v>
      </c>
      <c r="AK53" s="184">
        <f t="shared" si="33"/>
        <v>0</v>
      </c>
      <c r="AL53" s="184">
        <f t="shared" si="33"/>
        <v>0</v>
      </c>
      <c r="AM53" s="179">
        <f t="shared" si="33"/>
        <v>0</v>
      </c>
      <c r="AN53" s="179">
        <f t="shared" si="33"/>
        <v>1734439910.8500001</v>
      </c>
      <c r="AO53" s="179">
        <f t="shared" si="33"/>
        <v>1734439910.8500001</v>
      </c>
    </row>
    <row r="54" spans="1:41" ht="14.25" customHeight="1" outlineLevel="2">
      <c r="A54" s="157">
        <v>534</v>
      </c>
      <c r="B54" s="104" t="s">
        <v>26</v>
      </c>
      <c r="C54" s="104" t="s">
        <v>103</v>
      </c>
      <c r="D54" s="104" t="s">
        <v>104</v>
      </c>
      <c r="E54" s="104" t="s">
        <v>105</v>
      </c>
      <c r="F54" s="104" t="s">
        <v>106</v>
      </c>
      <c r="G54" s="105">
        <v>1.1000000000000001</v>
      </c>
      <c r="H54" s="106"/>
      <c r="I54" s="107">
        <f t="shared" si="19"/>
        <v>1.1000000000000001</v>
      </c>
      <c r="J54" s="158">
        <f>VLOOKUP($E54,'2.จัดสรรหลังSK'!$E$4:$H$98,4,FALSE)</f>
        <v>92878</v>
      </c>
      <c r="K54" s="108">
        <f>IF($I$1=1,VLOOKUP($E54,'2.จัดสรรหลังSK'!$E$4:$AA$98,5,FALSE),VLOOKUP($E54,Step!$E$5:$AG$99,23,FALSE))</f>
        <v>1124.7515620491397</v>
      </c>
      <c r="L54" s="108">
        <f>IF($I$1=1,VLOOKUP($E54,'2.จัดสรรหลังSK'!$E$4:$AA$98,6,FALSE),VLOOKUP($E54,Step!$E$5:$AG$99,28,FALSE))</f>
        <v>215.46748885634918</v>
      </c>
      <c r="M54" s="109">
        <v>40982.7598</v>
      </c>
      <c r="N54" s="109">
        <v>940.09939999999995</v>
      </c>
      <c r="O54" s="109">
        <v>3442.6179999999977</v>
      </c>
      <c r="P54" s="109">
        <v>59.141199999999998</v>
      </c>
      <c r="Q54" s="105">
        <f t="shared" si="20"/>
        <v>7038.3311424701133</v>
      </c>
      <c r="R54" s="105">
        <f>IF($I$1=1,VLOOKUP($E54,'2.จัดสรรหลังSK'!$E$4:$AA$98,12,FALSE),VLOOKUP($E54,Step!$E$5:$AG$99,24,FALSE))</f>
        <v>104464675.58</v>
      </c>
      <c r="S54" s="105">
        <f>IF($I$1=1,VLOOKUP($E54,'2.จัดสรรหลังSK'!$E$4:$AA$98,13,FALSE),VLOOKUP($E54,Step!$E$5:$AG$99,29,FALSE))</f>
        <v>20012189.43</v>
      </c>
      <c r="T54" s="65">
        <f>IF($H$111&lt;&gt;0,ROUND(ROUND(M54*I54,4)*Q54,2),VLOOKUP($E54,'2.จัดสรรหลังSK'!$E$4:$R$98,14,FALSE))</f>
        <v>317295258.13</v>
      </c>
      <c r="U54" s="105">
        <f>VLOOKUP($E54,'2.จัดสรรหลังSK'!$E$4:$S$98,15,FALSE)</f>
        <v>9024954.2400000002</v>
      </c>
      <c r="V54" s="105">
        <f>VLOOKUP($E54,'2.จัดสรรหลังSK'!$E$4:$T$98,16,FALSE)</f>
        <v>30983562</v>
      </c>
      <c r="W54" s="105">
        <f>VLOOKUP($E54,'2.จัดสรรหลังSK'!$E$4:$U$98,17,FALSE)</f>
        <v>709694.4</v>
      </c>
      <c r="X54" s="108">
        <f t="shared" si="21"/>
        <v>482490333.77999997</v>
      </c>
      <c r="Y54" s="108">
        <f>VLOOKUP($E54,'2.จัดสรรหลังSK'!$E$4:$W$98,19,FALSE)</f>
        <v>244498112</v>
      </c>
      <c r="Z54" s="105">
        <f t="shared" si="22"/>
        <v>237992221.78</v>
      </c>
      <c r="AA54" s="110">
        <v>4384288.74</v>
      </c>
      <c r="AB54" s="111">
        <f t="shared" si="23"/>
        <v>242376510.52000001</v>
      </c>
      <c r="AC54" s="108">
        <f>VLOOKUP($E54,'2.จัดสรรหลังSK'!$E$4:$AA$98,23,FALSE)</f>
        <v>242376510.52000001</v>
      </c>
      <c r="AD54" s="108">
        <f>VLOOKUP($E54,'2.จัดสรรหลังSK'!$E$4:$AB$98,24,FALSE)</f>
        <v>229619852.06999999</v>
      </c>
      <c r="AE54" s="108">
        <f t="shared" si="24"/>
        <v>0</v>
      </c>
      <c r="AF54" s="108">
        <f t="shared" si="25"/>
        <v>12756658.449999999</v>
      </c>
      <c r="AG54" s="159" t="str">
        <f t="shared" si="26"/>
        <v>ผ่าน</v>
      </c>
      <c r="AH54" s="108">
        <f t="shared" si="31"/>
        <v>242376510.52000001</v>
      </c>
      <c r="AI54" s="112"/>
      <c r="AJ54" s="108">
        <f t="shared" si="27"/>
        <v>242376510.52000001</v>
      </c>
      <c r="AK54" s="112"/>
      <c r="AL54" s="112"/>
      <c r="AM54" s="108">
        <f t="shared" si="28"/>
        <v>0</v>
      </c>
      <c r="AN54" s="108">
        <f t="shared" si="29"/>
        <v>242376510.52000001</v>
      </c>
      <c r="AO54" s="108">
        <f t="shared" si="30"/>
        <v>242376510.52000001</v>
      </c>
    </row>
    <row r="55" spans="1:41" ht="14.25" customHeight="1" outlineLevel="2">
      <c r="A55" s="92">
        <v>535</v>
      </c>
      <c r="B55" s="60" t="s">
        <v>26</v>
      </c>
      <c r="C55" s="60" t="s">
        <v>103</v>
      </c>
      <c r="D55" s="60" t="s">
        <v>104</v>
      </c>
      <c r="E55" s="60" t="s">
        <v>107</v>
      </c>
      <c r="F55" s="60" t="s">
        <v>108</v>
      </c>
      <c r="G55" s="93">
        <v>1.3</v>
      </c>
      <c r="H55" s="71"/>
      <c r="I55" s="65">
        <f t="shared" si="19"/>
        <v>1.3</v>
      </c>
      <c r="J55" s="94">
        <f>VLOOKUP($E55,'2.จัดสรรหลังSK'!$E$4:$H$98,4,FALSE)</f>
        <v>21557</v>
      </c>
      <c r="K55" s="8">
        <f>IF($I$1=1,VLOOKUP($E55,'2.จัดสรรหลังSK'!$E$4:$AA$98,5,FALSE),VLOOKUP($E55,Step!$E$5:$AG$99,23,FALSE))</f>
        <v>1593.1740181843486</v>
      </c>
      <c r="L55" s="8">
        <f>IF($I$1=1,VLOOKUP($E55,'2.จัดสรรหลังSK'!$E$4:$AA$98,6,FALSE),VLOOKUP($E55,Step!$E$5:$AG$99,28,FALSE))</f>
        <v>305.20269239690128</v>
      </c>
      <c r="M55" s="95">
        <v>1280.3031000000001</v>
      </c>
      <c r="N55" s="95">
        <v>18.897400000000001</v>
      </c>
      <c r="O55" s="95">
        <v>0</v>
      </c>
      <c r="P55" s="95">
        <v>0</v>
      </c>
      <c r="Q55" s="93">
        <f t="shared" si="20"/>
        <v>7038.3311424701133</v>
      </c>
      <c r="R55" s="93">
        <f>IF($I$1=1,VLOOKUP($E55,'2.จัดสรรหลังSK'!$E$4:$AA$98,12,FALSE),VLOOKUP($E55,Step!$E$5:$AG$99,24,FALSE))</f>
        <v>34344052.310000002</v>
      </c>
      <c r="S55" s="93">
        <f>IF($I$1=1,VLOOKUP($E55,'2.จัดสรรหลังSK'!$E$4:$AA$98,13,FALSE),VLOOKUP($E55,Step!$E$5:$AG$99,29,FALSE))</f>
        <v>6579254.4400000004</v>
      </c>
      <c r="T55" s="65">
        <f>IF($H$111&lt;&gt;0,ROUND(ROUND(M55*I55,4)*Q55,2),VLOOKUP($E55,'2.จัดสรรหลังSK'!$E$4:$R$98,14,FALSE))</f>
        <v>11714556.119999999</v>
      </c>
      <c r="U55" s="93">
        <f>VLOOKUP($E55,'2.จัดสรรหลังSK'!$E$4:$S$98,15,FALSE)</f>
        <v>181415.04000000001</v>
      </c>
      <c r="V55" s="93">
        <f>VLOOKUP($E55,'2.จัดสรรหลังSK'!$E$4:$T$98,16,FALSE)</f>
        <v>0</v>
      </c>
      <c r="W55" s="93">
        <f>VLOOKUP($E55,'2.จัดสรรหลังSK'!$E$4:$U$98,17,FALSE)</f>
        <v>0</v>
      </c>
      <c r="X55" s="8">
        <f t="shared" si="21"/>
        <v>52819277.909999996</v>
      </c>
      <c r="Y55" s="8">
        <f>VLOOKUP($E55,'2.จัดสรรหลังSK'!$E$4:$W$98,19,FALSE)</f>
        <v>20518310</v>
      </c>
      <c r="Z55" s="93">
        <f t="shared" si="22"/>
        <v>32300967.91</v>
      </c>
      <c r="AA55" s="66">
        <v>0</v>
      </c>
      <c r="AB55" s="96">
        <f t="shared" si="23"/>
        <v>32300967.91</v>
      </c>
      <c r="AC55" s="8">
        <f>VLOOKUP($E55,'2.จัดสรรหลังSK'!$E$4:$AA$98,23,FALSE)</f>
        <v>26378632.890000001</v>
      </c>
      <c r="AD55" s="8">
        <f>VLOOKUP($E55,'2.จัดสรรหลังSK'!$E$4:$AB$98,24,FALSE)</f>
        <v>24990283.789999999</v>
      </c>
      <c r="AE55" s="8">
        <f t="shared" si="24"/>
        <v>5922335.0199999996</v>
      </c>
      <c r="AF55" s="8">
        <f t="shared" si="25"/>
        <v>7310684.1200000001</v>
      </c>
      <c r="AG55" s="97" t="str">
        <f t="shared" si="26"/>
        <v>ผ่าน</v>
      </c>
      <c r="AH55" s="8">
        <f t="shared" si="31"/>
        <v>26378632.890000001</v>
      </c>
      <c r="AI55" s="98"/>
      <c r="AJ55" s="8">
        <f t="shared" si="27"/>
        <v>32300967.91</v>
      </c>
      <c r="AK55" s="98"/>
      <c r="AL55" s="98"/>
      <c r="AM55" s="8">
        <f t="shared" si="28"/>
        <v>0</v>
      </c>
      <c r="AN55" s="8">
        <f t="shared" si="29"/>
        <v>32300967.91</v>
      </c>
      <c r="AO55" s="8">
        <f t="shared" si="30"/>
        <v>32300967.91</v>
      </c>
    </row>
    <row r="56" spans="1:41" ht="14.25" customHeight="1" outlineLevel="2">
      <c r="A56" s="92">
        <v>536</v>
      </c>
      <c r="B56" s="60" t="s">
        <v>26</v>
      </c>
      <c r="C56" s="60" t="s">
        <v>103</v>
      </c>
      <c r="D56" s="60" t="s">
        <v>104</v>
      </c>
      <c r="E56" s="60" t="s">
        <v>109</v>
      </c>
      <c r="F56" s="60" t="s">
        <v>110</v>
      </c>
      <c r="G56" s="93">
        <v>1.2</v>
      </c>
      <c r="H56" s="71"/>
      <c r="I56" s="65">
        <f t="shared" si="19"/>
        <v>1.2</v>
      </c>
      <c r="J56" s="94">
        <f>VLOOKUP($E56,'2.จัดสรรหลังSK'!$E$4:$H$98,4,FALSE)</f>
        <v>47394</v>
      </c>
      <c r="K56" s="8">
        <f>IF($I$1=1,VLOOKUP($E56,'2.จัดสรรหลังSK'!$E$4:$AA$98,5,FALSE),VLOOKUP($E56,Step!$E$5:$AG$99,23,FALSE))</f>
        <v>1347.4387715744608</v>
      </c>
      <c r="L56" s="8">
        <f>IF($I$1=1,VLOOKUP($E56,'2.จัดสรรหลังSK'!$E$4:$AA$98,6,FALSE),VLOOKUP($E56,Step!$E$5:$AG$99,28,FALSE))</f>
        <v>258.12744630121955</v>
      </c>
      <c r="M56" s="95">
        <v>2564.0414000000001</v>
      </c>
      <c r="N56" s="95">
        <v>32.728200000000001</v>
      </c>
      <c r="O56" s="95">
        <v>0</v>
      </c>
      <c r="P56" s="95">
        <v>0</v>
      </c>
      <c r="Q56" s="93">
        <f t="shared" si="20"/>
        <v>7038.3311424701133</v>
      </c>
      <c r="R56" s="93">
        <f>IF($I$1=1,VLOOKUP($E56,'2.จัดสรรหลังSK'!$E$4:$AA$98,12,FALSE),VLOOKUP($E56,Step!$E$5:$AG$99,24,FALSE))</f>
        <v>63860513.140000001</v>
      </c>
      <c r="S56" s="93">
        <f>IF($I$1=1,VLOOKUP($E56,'2.จัดสรรหลังSK'!$E$4:$AA$98,13,FALSE),VLOOKUP($E56,Step!$E$5:$AG$99,29,FALSE))</f>
        <v>12233692.189999999</v>
      </c>
      <c r="T56" s="65">
        <f>IF($H$111&lt;&gt;0,ROUND(ROUND(M56*I56,4)*Q56,2),VLOOKUP($E56,'2.จัดสรรหลังSK'!$E$4:$R$98,14,FALSE))</f>
        <v>21655887.059999999</v>
      </c>
      <c r="U56" s="93">
        <f>VLOOKUP($E56,'2.จัดสรรหลังSK'!$E$4:$S$98,15,FALSE)</f>
        <v>314190.71999999997</v>
      </c>
      <c r="V56" s="93">
        <f>VLOOKUP($E56,'2.จัดสรรหลังSK'!$E$4:$T$98,16,FALSE)</f>
        <v>0</v>
      </c>
      <c r="W56" s="93">
        <f>VLOOKUP($E56,'2.จัดสรรหลังSK'!$E$4:$U$98,17,FALSE)</f>
        <v>0</v>
      </c>
      <c r="X56" s="8">
        <f t="shared" si="21"/>
        <v>98064283.109999999</v>
      </c>
      <c r="Y56" s="8">
        <f>VLOOKUP($E56,'2.จัดสรรหลังSK'!$E$4:$W$98,19,FALSE)</f>
        <v>39941725</v>
      </c>
      <c r="Z56" s="93">
        <f t="shared" si="22"/>
        <v>58122558.109999999</v>
      </c>
      <c r="AA56" s="66">
        <v>0</v>
      </c>
      <c r="AB56" s="96">
        <f t="shared" si="23"/>
        <v>58122558.109999999</v>
      </c>
      <c r="AC56" s="8">
        <f>VLOOKUP($E56,'2.จัดสรรหลังSK'!$E$4:$AA$98,23,FALSE)</f>
        <v>55719960.659999996</v>
      </c>
      <c r="AD56" s="8">
        <f>VLOOKUP($E56,'2.จัดสรรหลังSK'!$E$4:$AB$98,24,FALSE)</f>
        <v>52787331.149999999</v>
      </c>
      <c r="AE56" s="8">
        <f t="shared" si="24"/>
        <v>2402597.4500000002</v>
      </c>
      <c r="AF56" s="8">
        <f t="shared" si="25"/>
        <v>5335226.96</v>
      </c>
      <c r="AG56" s="97" t="str">
        <f t="shared" si="26"/>
        <v>ผ่าน</v>
      </c>
      <c r="AH56" s="8">
        <f t="shared" si="31"/>
        <v>55719960.659999996</v>
      </c>
      <c r="AI56" s="98"/>
      <c r="AJ56" s="8">
        <f t="shared" si="27"/>
        <v>58122558.109999999</v>
      </c>
      <c r="AK56" s="98"/>
      <c r="AL56" s="98"/>
      <c r="AM56" s="8">
        <f t="shared" si="28"/>
        <v>0</v>
      </c>
      <c r="AN56" s="8">
        <f t="shared" si="29"/>
        <v>58122558.109999999</v>
      </c>
      <c r="AO56" s="8">
        <f t="shared" si="30"/>
        <v>58122558.109999999</v>
      </c>
    </row>
    <row r="57" spans="1:41" ht="14.25" customHeight="1" outlineLevel="2">
      <c r="A57" s="92">
        <v>537</v>
      </c>
      <c r="B57" s="60" t="s">
        <v>26</v>
      </c>
      <c r="C57" s="60" t="s">
        <v>103</v>
      </c>
      <c r="D57" s="60" t="s">
        <v>104</v>
      </c>
      <c r="E57" s="60" t="s">
        <v>111</v>
      </c>
      <c r="F57" s="60" t="s">
        <v>112</v>
      </c>
      <c r="G57" s="93">
        <v>1.25</v>
      </c>
      <c r="H57" s="71"/>
      <c r="I57" s="65">
        <f t="shared" si="19"/>
        <v>1.25</v>
      </c>
      <c r="J57" s="94">
        <f>VLOOKUP($E57,'2.จัดสรรหลังSK'!$E$4:$H$98,4,FALSE)</f>
        <v>35396</v>
      </c>
      <c r="K57" s="8">
        <f>IF($I$1=1,VLOOKUP($E57,'2.จัดสรรหลังSK'!$E$4:$AA$98,5,FALSE),VLOOKUP($E57,Step!$E$5:$AG$99,23,FALSE))</f>
        <v>1447.7353469318568</v>
      </c>
      <c r="L57" s="8">
        <f>IF($I$1=1,VLOOKUP($E57,'2.จัดสรรหลังSK'!$E$4:$AA$98,6,FALSE),VLOOKUP($E57,Step!$E$5:$AG$99,28,FALSE))</f>
        <v>277.34115719290315</v>
      </c>
      <c r="M57" s="95">
        <v>2354.625</v>
      </c>
      <c r="N57" s="95">
        <v>50.146599999999999</v>
      </c>
      <c r="O57" s="95">
        <v>0</v>
      </c>
      <c r="P57" s="95">
        <v>0</v>
      </c>
      <c r="Q57" s="93">
        <f t="shared" si="20"/>
        <v>7038.3311424701133</v>
      </c>
      <c r="R57" s="93">
        <f>IF($I$1=1,VLOOKUP($E57,'2.จัดสรรหลังSK'!$E$4:$AA$98,12,FALSE),VLOOKUP($E57,Step!$E$5:$AG$99,24,FALSE))</f>
        <v>51244040.340000004</v>
      </c>
      <c r="S57" s="93">
        <f>IF($I$1=1,VLOOKUP($E57,'2.จัดสรรหลังSK'!$E$4:$AA$98,13,FALSE),VLOOKUP($E57,Step!$E$5:$AG$99,29,FALSE))</f>
        <v>9816767.5999999996</v>
      </c>
      <c r="T57" s="65">
        <f>IF($H$111&lt;&gt;0,ROUND(ROUND(M57*I57,4)*Q57,2),VLOOKUP($E57,'2.จัดสรรหลังSK'!$E$4:$R$98,14,FALSE))</f>
        <v>20715788.43</v>
      </c>
      <c r="U57" s="93">
        <f>VLOOKUP($E57,'2.จัดสรรหลังSK'!$E$4:$S$98,15,FALSE)</f>
        <v>481407.36</v>
      </c>
      <c r="V57" s="93">
        <f>VLOOKUP($E57,'2.จัดสรรหลังSK'!$E$4:$T$98,16,FALSE)</f>
        <v>0</v>
      </c>
      <c r="W57" s="93">
        <f>VLOOKUP($E57,'2.จัดสรรหลังSK'!$E$4:$U$98,17,FALSE)</f>
        <v>0</v>
      </c>
      <c r="X57" s="8">
        <f t="shared" si="21"/>
        <v>82258003.730000004</v>
      </c>
      <c r="Y57" s="8">
        <f>VLOOKUP($E57,'2.จัดสรรหลังSK'!$E$4:$W$98,19,FALSE)</f>
        <v>24005307</v>
      </c>
      <c r="Z57" s="93">
        <f t="shared" si="22"/>
        <v>58252696.729999997</v>
      </c>
      <c r="AA57" s="66">
        <v>0</v>
      </c>
      <c r="AB57" s="96">
        <f t="shared" si="23"/>
        <v>58252696.729999997</v>
      </c>
      <c r="AC57" s="8">
        <f>VLOOKUP($E57,'2.จัดสรรหลังSK'!$E$4:$AA$98,23,FALSE)</f>
        <v>45596438.340000004</v>
      </c>
      <c r="AD57" s="8">
        <f>VLOOKUP($E57,'2.จัดสรรหลังSK'!$E$4:$AB$98,24,FALSE)</f>
        <v>43196625.789999999</v>
      </c>
      <c r="AE57" s="8">
        <f t="shared" si="24"/>
        <v>12656258.390000001</v>
      </c>
      <c r="AF57" s="8">
        <f t="shared" si="25"/>
        <v>15056070.939999999</v>
      </c>
      <c r="AG57" s="97" t="str">
        <f t="shared" si="26"/>
        <v>ผ่าน</v>
      </c>
      <c r="AH57" s="8">
        <f t="shared" si="31"/>
        <v>45596438.340000004</v>
      </c>
      <c r="AI57" s="98"/>
      <c r="AJ57" s="8">
        <f t="shared" si="27"/>
        <v>58252696.729999997</v>
      </c>
      <c r="AK57" s="98"/>
      <c r="AL57" s="98"/>
      <c r="AM57" s="8">
        <f t="shared" si="28"/>
        <v>0</v>
      </c>
      <c r="AN57" s="8">
        <f t="shared" si="29"/>
        <v>58252696.729999997</v>
      </c>
      <c r="AO57" s="8">
        <f t="shared" si="30"/>
        <v>58252696.729999997</v>
      </c>
    </row>
    <row r="58" spans="1:41" ht="14.25" customHeight="1" outlineLevel="2">
      <c r="A58" s="92">
        <v>538</v>
      </c>
      <c r="B58" s="60" t="s">
        <v>26</v>
      </c>
      <c r="C58" s="60" t="s">
        <v>103</v>
      </c>
      <c r="D58" s="60" t="s">
        <v>104</v>
      </c>
      <c r="E58" s="60" t="s">
        <v>113</v>
      </c>
      <c r="F58" s="60" t="s">
        <v>114</v>
      </c>
      <c r="G58" s="93">
        <v>1.4</v>
      </c>
      <c r="H58" s="71"/>
      <c r="I58" s="65">
        <f t="shared" si="19"/>
        <v>1.4</v>
      </c>
      <c r="J58" s="94">
        <f>VLOOKUP($E58,'2.จัดสรรหลังSK'!$E$4:$H$98,4,FALSE)</f>
        <v>8844</v>
      </c>
      <c r="K58" s="8">
        <f>IF($I$1=1,VLOOKUP($E58,'2.จัดสรรหลังSK'!$E$4:$AA$98,5,FALSE),VLOOKUP($E58,Step!$E$5:$AG$99,23,FALSE))</f>
        <v>1767.1588014473089</v>
      </c>
      <c r="L58" s="8">
        <f>IF($I$1=1,VLOOKUP($E58,'2.จัดสรรหลังSK'!$E$4:$AA$98,6,FALSE),VLOOKUP($E58,Step!$E$5:$AG$99,28,FALSE))</f>
        <v>338.53277702397105</v>
      </c>
      <c r="M58" s="95">
        <v>580.39110000000005</v>
      </c>
      <c r="N58" s="95">
        <v>16.4788</v>
      </c>
      <c r="O58" s="95">
        <v>0</v>
      </c>
      <c r="P58" s="95">
        <v>0</v>
      </c>
      <c r="Q58" s="93">
        <f t="shared" si="20"/>
        <v>7038.3311424701133</v>
      </c>
      <c r="R58" s="93">
        <f>IF($I$1=1,VLOOKUP($E58,'2.จัดสรรหลังSK'!$E$4:$AA$98,12,FALSE),VLOOKUP($E58,Step!$E$5:$AG$99,24,FALSE))</f>
        <v>15628752.439999999</v>
      </c>
      <c r="S58" s="93">
        <f>IF($I$1=1,VLOOKUP($E58,'2.จัดสรรหลังSK'!$E$4:$AA$98,13,FALSE),VLOOKUP($E58,Step!$E$5:$AG$99,29,FALSE))</f>
        <v>2993983.88</v>
      </c>
      <c r="T58" s="65">
        <f>IF($H$111&lt;&gt;0,ROUND(ROUND(M58*I58,4)*Q58,2),VLOOKUP($E58,'2.จัดสรรหลังSK'!$E$4:$R$98,14,FALSE))</f>
        <v>5718978.3700000001</v>
      </c>
      <c r="U58" s="93">
        <f>VLOOKUP($E58,'2.จัดสรรหลังSK'!$E$4:$S$98,15,FALSE)</f>
        <v>158196.48000000001</v>
      </c>
      <c r="V58" s="93">
        <f>VLOOKUP($E58,'2.จัดสรรหลังSK'!$E$4:$T$98,16,FALSE)</f>
        <v>0</v>
      </c>
      <c r="W58" s="93">
        <f>VLOOKUP($E58,'2.จัดสรรหลังSK'!$E$4:$U$98,17,FALSE)</f>
        <v>0</v>
      </c>
      <c r="X58" s="8">
        <f t="shared" si="21"/>
        <v>24499911.170000002</v>
      </c>
      <c r="Y58" s="8">
        <f>VLOOKUP($E58,'2.จัดสรรหลังSK'!$E$4:$W$98,19,FALSE)</f>
        <v>15856748</v>
      </c>
      <c r="Z58" s="93">
        <f t="shared" si="22"/>
        <v>8643163.1699999999</v>
      </c>
      <c r="AA58" s="66">
        <v>11223437.66</v>
      </c>
      <c r="AB58" s="96">
        <f t="shared" si="23"/>
        <v>19866600.829999998</v>
      </c>
      <c r="AC58" s="8">
        <f>VLOOKUP($E58,'2.จัดสรรหลังSK'!$E$4:$AA$98,23,FALSE)</f>
        <v>19866600.829999998</v>
      </c>
      <c r="AD58" s="8">
        <f>VLOOKUP($E58,'2.จัดสรรหลังSK'!$E$4:$AB$98,24,FALSE)</f>
        <v>18820990.260000002</v>
      </c>
      <c r="AE58" s="8">
        <f t="shared" si="24"/>
        <v>0</v>
      </c>
      <c r="AF58" s="8">
        <f t="shared" si="25"/>
        <v>1045610.57</v>
      </c>
      <c r="AG58" s="97" t="str">
        <f t="shared" si="26"/>
        <v>ผ่าน</v>
      </c>
      <c r="AH58" s="8">
        <f t="shared" si="31"/>
        <v>19866600.829999998</v>
      </c>
      <c r="AI58" s="98"/>
      <c r="AJ58" s="8">
        <f t="shared" si="27"/>
        <v>19866600.829999998</v>
      </c>
      <c r="AK58" s="98"/>
      <c r="AL58" s="98"/>
      <c r="AM58" s="8">
        <f t="shared" si="28"/>
        <v>0</v>
      </c>
      <c r="AN58" s="8">
        <f t="shared" si="29"/>
        <v>19866600.829999998</v>
      </c>
      <c r="AO58" s="8">
        <f t="shared" si="30"/>
        <v>19866600.829999998</v>
      </c>
    </row>
    <row r="59" spans="1:41" ht="14.25" customHeight="1" outlineLevel="2">
      <c r="A59" s="92">
        <v>539</v>
      </c>
      <c r="B59" s="60" t="s">
        <v>26</v>
      </c>
      <c r="C59" s="60" t="s">
        <v>103</v>
      </c>
      <c r="D59" s="60" t="s">
        <v>104</v>
      </c>
      <c r="E59" s="60" t="s">
        <v>115</v>
      </c>
      <c r="F59" s="60" t="s">
        <v>116</v>
      </c>
      <c r="G59" s="93">
        <v>1.35</v>
      </c>
      <c r="H59" s="71"/>
      <c r="I59" s="65">
        <f t="shared" si="19"/>
        <v>1.35</v>
      </c>
      <c r="J59" s="94">
        <f>VLOOKUP($E59,'2.จัดสรรหลังSK'!$E$4:$H$98,4,FALSE)</f>
        <v>18142</v>
      </c>
      <c r="K59" s="8">
        <f>IF($I$1=1,VLOOKUP($E59,'2.จัดสรรหลังSK'!$E$4:$AA$98,5,FALSE),VLOOKUP($E59,Step!$E$5:$AG$99,23,FALSE))</f>
        <v>1630.715867048837</v>
      </c>
      <c r="L59" s="8">
        <f>IF($I$1=1,VLOOKUP($E59,'2.จัดสรรหลังSK'!$E$4:$AA$98,6,FALSE),VLOOKUP($E59,Step!$E$5:$AG$99,28,FALSE))</f>
        <v>312.3945452541065</v>
      </c>
      <c r="M59" s="95">
        <v>1000.0644</v>
      </c>
      <c r="N59" s="95">
        <v>22.388000000000002</v>
      </c>
      <c r="O59" s="95">
        <v>0</v>
      </c>
      <c r="P59" s="95">
        <v>0</v>
      </c>
      <c r="Q59" s="93">
        <f t="shared" si="20"/>
        <v>7038.3311424701133</v>
      </c>
      <c r="R59" s="93">
        <f>IF($I$1=1,VLOOKUP($E59,'2.จัดสรรหลังSK'!$E$4:$AA$98,12,FALSE),VLOOKUP($E59,Step!$E$5:$AG$99,24,FALSE))</f>
        <v>29584447.260000002</v>
      </c>
      <c r="S59" s="93">
        <f>IF($I$1=1,VLOOKUP($E59,'2.จัดสรรหลังSK'!$E$4:$AA$98,13,FALSE),VLOOKUP($E59,Step!$E$5:$AG$99,29,FALSE))</f>
        <v>5667461.8399999999</v>
      </c>
      <c r="T59" s="65">
        <f>IF($H$111&lt;&gt;0,ROUND(ROUND(M59*I59,4)*Q59,2),VLOOKUP($E59,'2.จัดสรรหลังSK'!$E$4:$R$98,14,FALSE))</f>
        <v>9502358.6699999999</v>
      </c>
      <c r="U59" s="93">
        <f>VLOOKUP($E59,'2.จัดสรรหลังSK'!$E$4:$S$98,15,FALSE)</f>
        <v>214924.79999999999</v>
      </c>
      <c r="V59" s="93">
        <f>VLOOKUP($E59,'2.จัดสรรหลังSK'!$E$4:$T$98,16,FALSE)</f>
        <v>0</v>
      </c>
      <c r="W59" s="93">
        <f>VLOOKUP($E59,'2.จัดสรรหลังSK'!$E$4:$U$98,17,FALSE)</f>
        <v>0</v>
      </c>
      <c r="X59" s="8">
        <f t="shared" si="21"/>
        <v>44969192.57</v>
      </c>
      <c r="Y59" s="8">
        <f>VLOOKUP($E59,'2.จัดสรรหลังSK'!$E$4:$W$98,19,FALSE)</f>
        <v>21766616</v>
      </c>
      <c r="Z59" s="93">
        <f t="shared" si="22"/>
        <v>23202576.57</v>
      </c>
      <c r="AA59" s="66">
        <v>0</v>
      </c>
      <c r="AB59" s="96">
        <f t="shared" si="23"/>
        <v>23202576.57</v>
      </c>
      <c r="AC59" s="8">
        <f>VLOOKUP($E59,'2.จัดสรรหลังSK'!$E$4:$AA$98,23,FALSE)</f>
        <v>21252104.649999999</v>
      </c>
      <c r="AD59" s="8">
        <f>VLOOKUP($E59,'2.จัดสรรหลังSK'!$E$4:$AB$98,24,FALSE)</f>
        <v>20133572.82</v>
      </c>
      <c r="AE59" s="8">
        <f t="shared" si="24"/>
        <v>1950471.92</v>
      </c>
      <c r="AF59" s="8">
        <f t="shared" si="25"/>
        <v>3069003.75</v>
      </c>
      <c r="AG59" s="97" t="str">
        <f t="shared" si="26"/>
        <v>ผ่าน</v>
      </c>
      <c r="AH59" s="8">
        <f t="shared" si="31"/>
        <v>21252104.649999999</v>
      </c>
      <c r="AI59" s="98"/>
      <c r="AJ59" s="8">
        <f t="shared" si="27"/>
        <v>23202576.57</v>
      </c>
      <c r="AK59" s="98"/>
      <c r="AL59" s="98"/>
      <c r="AM59" s="8">
        <f t="shared" si="28"/>
        <v>0</v>
      </c>
      <c r="AN59" s="8">
        <f t="shared" si="29"/>
        <v>23202576.57</v>
      </c>
      <c r="AO59" s="8">
        <f t="shared" si="30"/>
        <v>23202576.57</v>
      </c>
    </row>
    <row r="60" spans="1:41" ht="14.25" customHeight="1" outlineLevel="2">
      <c r="A60" s="92">
        <v>540</v>
      </c>
      <c r="B60" s="60" t="s">
        <v>26</v>
      </c>
      <c r="C60" s="60" t="s">
        <v>103</v>
      </c>
      <c r="D60" s="60" t="s">
        <v>104</v>
      </c>
      <c r="E60" s="60" t="s">
        <v>117</v>
      </c>
      <c r="F60" s="60" t="s">
        <v>118</v>
      </c>
      <c r="G60" s="93">
        <v>1.3</v>
      </c>
      <c r="H60" s="71"/>
      <c r="I60" s="65">
        <f t="shared" si="19"/>
        <v>1.3</v>
      </c>
      <c r="J60" s="94">
        <f>VLOOKUP($E60,'2.จัดสรรหลังSK'!$E$4:$H$98,4,FALSE)</f>
        <v>21107</v>
      </c>
      <c r="K60" s="8">
        <f>IF($I$1=1,VLOOKUP($E60,'2.จัดสรรหลังSK'!$E$4:$AA$98,5,FALSE),VLOOKUP($E60,Step!$E$5:$AG$99,23,FALSE))</f>
        <v>1599.5690135973848</v>
      </c>
      <c r="L60" s="8">
        <f>IF($I$1=1,VLOOKUP($E60,'2.จัดสรรหลังSK'!$E$4:$AA$98,6,FALSE),VLOOKUP($E60,Step!$E$5:$AG$99,28,FALSE))</f>
        <v>306.42777514568627</v>
      </c>
      <c r="M60" s="95">
        <v>1445.2726</v>
      </c>
      <c r="N60" s="95">
        <v>20.837199999999999</v>
      </c>
      <c r="O60" s="95">
        <v>3.6461000000000001</v>
      </c>
      <c r="P60" s="95">
        <v>0</v>
      </c>
      <c r="Q60" s="93">
        <f t="shared" si="20"/>
        <v>7038.3311424701133</v>
      </c>
      <c r="R60" s="93">
        <f>IF($I$1=1,VLOOKUP($E60,'2.จัดสรรหลังSK'!$E$4:$AA$98,12,FALSE),VLOOKUP($E60,Step!$E$5:$AG$99,24,FALSE))</f>
        <v>33762103.170000002</v>
      </c>
      <c r="S60" s="93">
        <f>IF($I$1=1,VLOOKUP($E60,'2.จัดสรรหลังSK'!$E$4:$AA$98,13,FALSE),VLOOKUP($E60,Step!$E$5:$AG$99,29,FALSE))</f>
        <v>6467771.0499999998</v>
      </c>
      <c r="T60" s="65">
        <f>IF($H$111&lt;&gt;0,ROUND(ROUND(M60*I60,4)*Q60,2),VLOOKUP($E60,'2.จัดสรรหลังSK'!$E$4:$R$98,14,FALSE))</f>
        <v>13223999.43</v>
      </c>
      <c r="U60" s="93">
        <f>VLOOKUP($E60,'2.จัดสรรหลังSK'!$E$4:$S$98,15,FALSE)</f>
        <v>200037.12</v>
      </c>
      <c r="V60" s="93">
        <f>VLOOKUP($E60,'2.จัดสรรหลังSK'!$E$4:$T$98,16,FALSE)</f>
        <v>32814.9</v>
      </c>
      <c r="W60" s="93">
        <f>VLOOKUP($E60,'2.จัดสรรหลังSK'!$E$4:$U$98,17,FALSE)</f>
        <v>0</v>
      </c>
      <c r="X60" s="8">
        <f t="shared" si="21"/>
        <v>53686725.669999994</v>
      </c>
      <c r="Y60" s="8">
        <f>VLOOKUP($E60,'2.จัดสรรหลังSK'!$E$4:$W$98,19,FALSE)</f>
        <v>26585797</v>
      </c>
      <c r="Z60" s="93">
        <f t="shared" si="22"/>
        <v>27100928.670000002</v>
      </c>
      <c r="AA60" s="66">
        <v>268669.2</v>
      </c>
      <c r="AB60" s="96">
        <f t="shared" si="23"/>
        <v>27369597.870000001</v>
      </c>
      <c r="AC60" s="8">
        <f>VLOOKUP($E60,'2.จัดสรรหลังSK'!$E$4:$AA$98,23,FALSE)</f>
        <v>27369597.870000001</v>
      </c>
      <c r="AD60" s="8">
        <f>VLOOKUP($E60,'2.จัดสรรหลังSK'!$E$4:$AB$98,24,FALSE)</f>
        <v>25929092.719999999</v>
      </c>
      <c r="AE60" s="8">
        <f t="shared" si="24"/>
        <v>0</v>
      </c>
      <c r="AF60" s="8">
        <f t="shared" si="25"/>
        <v>1440505.15</v>
      </c>
      <c r="AG60" s="97" t="str">
        <f t="shared" si="26"/>
        <v>ผ่าน</v>
      </c>
      <c r="AH60" s="8">
        <f t="shared" si="31"/>
        <v>27369597.870000001</v>
      </c>
      <c r="AI60" s="98"/>
      <c r="AJ60" s="8">
        <f t="shared" si="27"/>
        <v>27369597.870000001</v>
      </c>
      <c r="AK60" s="98"/>
      <c r="AL60" s="98"/>
      <c r="AM60" s="8">
        <f t="shared" si="28"/>
        <v>0</v>
      </c>
      <c r="AN60" s="8">
        <f t="shared" si="29"/>
        <v>27369597.870000001</v>
      </c>
      <c r="AO60" s="8">
        <f t="shared" si="30"/>
        <v>27369597.870000001</v>
      </c>
    </row>
    <row r="61" spans="1:41" ht="14.25" customHeight="1" outlineLevel="2">
      <c r="A61" s="92">
        <v>541</v>
      </c>
      <c r="B61" s="60" t="s">
        <v>26</v>
      </c>
      <c r="C61" s="60" t="s">
        <v>103</v>
      </c>
      <c r="D61" s="60" t="s">
        <v>104</v>
      </c>
      <c r="E61" s="60" t="s">
        <v>119</v>
      </c>
      <c r="F61" s="60" t="s">
        <v>120</v>
      </c>
      <c r="G61" s="93">
        <v>1.1000000000000001</v>
      </c>
      <c r="H61" s="71"/>
      <c r="I61" s="65">
        <f t="shared" si="19"/>
        <v>1.1000000000000001</v>
      </c>
      <c r="J61" s="94">
        <f>VLOOKUP($E61,'2.จัดสรรหลังSK'!$E$4:$H$98,4,FALSE)</f>
        <v>86677</v>
      </c>
      <c r="K61" s="8">
        <f>IF($I$1=1,VLOOKUP($E61,'2.จัดสรรหลังSK'!$E$4:$AA$98,5,FALSE),VLOOKUP($E61,Step!$E$5:$AG$99,23,FALSE))</f>
        <v>1143.9708335544608</v>
      </c>
      <c r="L61" s="8">
        <f>IF($I$1=1,VLOOKUP($E61,'2.จัดสรรหลังSK'!$E$4:$AA$98,6,FALSE),VLOOKUP($E61,Step!$E$5:$AG$99,28,FALSE))</f>
        <v>219.14930477519988</v>
      </c>
      <c r="M61" s="95">
        <v>5484.8693000000003</v>
      </c>
      <c r="N61" s="95">
        <v>83.618700000000004</v>
      </c>
      <c r="O61" s="95">
        <v>1.9117999999999999</v>
      </c>
      <c r="P61" s="95">
        <v>0</v>
      </c>
      <c r="Q61" s="93">
        <f t="shared" si="20"/>
        <v>7038.3311424701133</v>
      </c>
      <c r="R61" s="93">
        <f>IF($I$1=1,VLOOKUP($E61,'2.จัดสรรหลังSK'!$E$4:$AA$98,12,FALSE),VLOOKUP($E61,Step!$E$5:$AG$99,24,FALSE))</f>
        <v>99155959.939999998</v>
      </c>
      <c r="S61" s="93">
        <f>IF($I$1=1,VLOOKUP($E61,'2.จัดสรรหลังSK'!$E$4:$AA$98,13,FALSE),VLOOKUP($E61,Step!$E$5:$AG$99,29,FALSE))</f>
        <v>18995204.289999999</v>
      </c>
      <c r="T61" s="65">
        <f>IF($H$111&lt;&gt;0,ROUND(ROUND(M61*I61,4)*Q61,2),VLOOKUP($E61,'2.จัดสรรหลังSK'!$E$4:$R$98,14,FALSE))</f>
        <v>42464758.829999998</v>
      </c>
      <c r="U61" s="93">
        <f>VLOOKUP($E61,'2.จัดสรรหลังSK'!$E$4:$S$98,15,FALSE)</f>
        <v>802739.52</v>
      </c>
      <c r="V61" s="93">
        <f>VLOOKUP($E61,'2.จัดสรรหลังSK'!$E$4:$T$98,16,FALSE)</f>
        <v>17206.2</v>
      </c>
      <c r="W61" s="93">
        <f>VLOOKUP($E61,'2.จัดสรรหลังSK'!$E$4:$U$98,17,FALSE)</f>
        <v>0</v>
      </c>
      <c r="X61" s="8">
        <f t="shared" si="21"/>
        <v>161435868.78</v>
      </c>
      <c r="Y61" s="8">
        <f>VLOOKUP($E61,'2.จัดสรรหลังSK'!$E$4:$W$98,19,FALSE)</f>
        <v>84448457</v>
      </c>
      <c r="Z61" s="93">
        <f t="shared" si="22"/>
        <v>76987411.780000001</v>
      </c>
      <c r="AA61" s="66">
        <v>0</v>
      </c>
      <c r="AB61" s="96">
        <f t="shared" si="23"/>
        <v>76987411.780000001</v>
      </c>
      <c r="AC61" s="8">
        <f>VLOOKUP($E61,'2.จัดสรรหลังSK'!$E$4:$AA$98,23,FALSE)</f>
        <v>72460080.909999996</v>
      </c>
      <c r="AD61" s="8">
        <f>VLOOKUP($E61,'2.จัดสรรหลังSK'!$E$4:$AB$98,24,FALSE)</f>
        <v>68646392.439999998</v>
      </c>
      <c r="AE61" s="8">
        <f t="shared" si="24"/>
        <v>4527330.87</v>
      </c>
      <c r="AF61" s="8">
        <f t="shared" si="25"/>
        <v>8341019.3399999999</v>
      </c>
      <c r="AG61" s="97" t="str">
        <f t="shared" si="26"/>
        <v>ผ่าน</v>
      </c>
      <c r="AH61" s="8">
        <f t="shared" si="31"/>
        <v>72460080.909999996</v>
      </c>
      <c r="AI61" s="98"/>
      <c r="AJ61" s="8">
        <f t="shared" si="27"/>
        <v>76987411.780000001</v>
      </c>
      <c r="AK61" s="98"/>
      <c r="AL61" s="98"/>
      <c r="AM61" s="8">
        <f t="shared" si="28"/>
        <v>0</v>
      </c>
      <c r="AN61" s="8">
        <f t="shared" si="29"/>
        <v>76987411.780000001</v>
      </c>
      <c r="AO61" s="8">
        <f t="shared" si="30"/>
        <v>76987411.780000001</v>
      </c>
    </row>
    <row r="62" spans="1:41" ht="14.25" customHeight="1" outlineLevel="2">
      <c r="A62" s="92">
        <v>542</v>
      </c>
      <c r="B62" s="60" t="s">
        <v>26</v>
      </c>
      <c r="C62" s="60" t="s">
        <v>103</v>
      </c>
      <c r="D62" s="60" t="s">
        <v>104</v>
      </c>
      <c r="E62" s="60" t="s">
        <v>121</v>
      </c>
      <c r="F62" s="60" t="s">
        <v>122</v>
      </c>
      <c r="G62" s="93">
        <v>1.3</v>
      </c>
      <c r="H62" s="71"/>
      <c r="I62" s="65">
        <f t="shared" si="19"/>
        <v>1.3</v>
      </c>
      <c r="J62" s="94">
        <f>VLOOKUP($E62,'2.จัดสรรหลังSK'!$E$4:$H$98,4,FALSE)</f>
        <v>26890</v>
      </c>
      <c r="K62" s="8">
        <f>IF($I$1=1,VLOOKUP($E62,'2.จัดสรรหลังSK'!$E$4:$AA$98,5,FALSE),VLOOKUP($E62,Step!$E$5:$AG$99,23,FALSE))</f>
        <v>1533.6852487913725</v>
      </c>
      <c r="L62" s="8">
        <f>IF($I$1=1,VLOOKUP($E62,'2.จัดสรรหลังSK'!$E$4:$AA$98,6,FALSE),VLOOKUP($E62,Step!$E$5:$AG$99,28,FALSE))</f>
        <v>293.8064905169208</v>
      </c>
      <c r="M62" s="95">
        <v>1525.2987000000001</v>
      </c>
      <c r="N62" s="95">
        <v>46.270600000000002</v>
      </c>
      <c r="O62" s="95">
        <v>0</v>
      </c>
      <c r="P62" s="95">
        <v>0</v>
      </c>
      <c r="Q62" s="93">
        <f t="shared" si="20"/>
        <v>7038.3311424701133</v>
      </c>
      <c r="R62" s="93">
        <f>IF($I$1=1,VLOOKUP($E62,'2.จัดสรรหลังSK'!$E$4:$AA$98,12,FALSE),VLOOKUP($E62,Step!$E$5:$AG$99,24,FALSE))</f>
        <v>41240796.340000004</v>
      </c>
      <c r="S62" s="93">
        <f>IF($I$1=1,VLOOKUP($E62,'2.จัดสรรหลังSK'!$E$4:$AA$98,13,FALSE),VLOOKUP($E62,Step!$E$5:$AG$99,29,FALSE))</f>
        <v>7900456.5300000003</v>
      </c>
      <c r="T62" s="65">
        <f>IF($H$111&lt;&gt;0,ROUND(ROUND(M62*I62,4)*Q62,2),VLOOKUP($E62,'2.จัดสรรหลังSK'!$E$4:$R$98,14,FALSE))</f>
        <v>13956224.470000001</v>
      </c>
      <c r="U62" s="93">
        <f>VLOOKUP($E62,'2.จัดสรรหลังSK'!$E$4:$S$98,15,FALSE)</f>
        <v>444197.76</v>
      </c>
      <c r="V62" s="93">
        <f>VLOOKUP($E62,'2.จัดสรรหลังSK'!$E$4:$T$98,16,FALSE)</f>
        <v>0</v>
      </c>
      <c r="W62" s="93">
        <f>VLOOKUP($E62,'2.จัดสรรหลังSK'!$E$4:$U$98,17,FALSE)</f>
        <v>0</v>
      </c>
      <c r="X62" s="8">
        <f t="shared" si="21"/>
        <v>63541675.100000001</v>
      </c>
      <c r="Y62" s="8">
        <f>VLOOKUP($E62,'2.จัดสรรหลังSK'!$E$4:$W$98,19,FALSE)</f>
        <v>27563045</v>
      </c>
      <c r="Z62" s="93">
        <f t="shared" si="22"/>
        <v>35978630.100000001</v>
      </c>
      <c r="AA62" s="66">
        <v>0</v>
      </c>
      <c r="AB62" s="96">
        <f t="shared" si="23"/>
        <v>35978630.100000001</v>
      </c>
      <c r="AC62" s="8">
        <f>VLOOKUP($E62,'2.จัดสรรหลังSK'!$E$4:$AA$98,23,FALSE)</f>
        <v>29360325</v>
      </c>
      <c r="AD62" s="8">
        <f>VLOOKUP($E62,'2.จัดสรรหลังSK'!$E$4:$AB$98,24,FALSE)</f>
        <v>27815044.73</v>
      </c>
      <c r="AE62" s="8">
        <f t="shared" si="24"/>
        <v>6618305.0999999996</v>
      </c>
      <c r="AF62" s="8">
        <f t="shared" si="25"/>
        <v>8163585.3700000001</v>
      </c>
      <c r="AG62" s="97" t="str">
        <f t="shared" si="26"/>
        <v>ผ่าน</v>
      </c>
      <c r="AH62" s="8">
        <f t="shared" si="31"/>
        <v>29360325</v>
      </c>
      <c r="AI62" s="98"/>
      <c r="AJ62" s="8">
        <f t="shared" si="27"/>
        <v>35978630.100000001</v>
      </c>
      <c r="AK62" s="98"/>
      <c r="AL62" s="98"/>
      <c r="AM62" s="8">
        <f t="shared" si="28"/>
        <v>0</v>
      </c>
      <c r="AN62" s="8">
        <f t="shared" si="29"/>
        <v>35978630.100000001</v>
      </c>
      <c r="AO62" s="8">
        <f t="shared" si="30"/>
        <v>35978630.100000001</v>
      </c>
    </row>
    <row r="63" spans="1:41" ht="14.25" customHeight="1" outlineLevel="2">
      <c r="A63" s="92">
        <v>543</v>
      </c>
      <c r="B63" s="60" t="s">
        <v>26</v>
      </c>
      <c r="C63" s="60" t="s">
        <v>103</v>
      </c>
      <c r="D63" s="60" t="s">
        <v>104</v>
      </c>
      <c r="E63" s="60" t="s">
        <v>123</v>
      </c>
      <c r="F63" s="60" t="s">
        <v>124</v>
      </c>
      <c r="G63" s="93">
        <v>1.3</v>
      </c>
      <c r="H63" s="71"/>
      <c r="I63" s="65">
        <f t="shared" si="19"/>
        <v>1.3</v>
      </c>
      <c r="J63" s="94">
        <f>VLOOKUP($E63,'2.จัดสรรหลังSK'!$E$4:$H$98,4,FALSE)</f>
        <v>20332</v>
      </c>
      <c r="K63" s="8">
        <f>IF($I$1=1,VLOOKUP($E63,'2.จัดสรรหลังSK'!$E$4:$AA$98,5,FALSE),VLOOKUP($E63,Step!$E$5:$AG$99,23,FALSE))</f>
        <v>1611.2461838481213</v>
      </c>
      <c r="L63" s="8">
        <f>IF($I$1=1,VLOOKUP($E63,'2.จัดสรรหลังSK'!$E$4:$AA$98,6,FALSE),VLOOKUP($E63,Step!$E$5:$AG$99,28,FALSE))</f>
        <v>308.66475850875469</v>
      </c>
      <c r="M63" s="95">
        <v>1602.0282999999999</v>
      </c>
      <c r="N63" s="95">
        <v>18.923400000000001</v>
      </c>
      <c r="O63" s="95">
        <v>0</v>
      </c>
      <c r="P63" s="95">
        <v>0</v>
      </c>
      <c r="Q63" s="93">
        <f t="shared" si="20"/>
        <v>7038.3311424701133</v>
      </c>
      <c r="R63" s="93">
        <f>IF($I$1=1,VLOOKUP($E63,'2.จัดสรรหลังSK'!$E$4:$AA$98,12,FALSE),VLOOKUP($E63,Step!$E$5:$AG$99,24,FALSE))</f>
        <v>32759857.41</v>
      </c>
      <c r="S63" s="93">
        <f>IF($I$1=1,VLOOKUP($E63,'2.จัดสรรหลังSK'!$E$4:$AA$98,13,FALSE),VLOOKUP($E63,Step!$E$5:$AG$99,29,FALSE))</f>
        <v>6275771.8700000001</v>
      </c>
      <c r="T63" s="65">
        <f>IF($H$111&lt;&gt;0,ROUND(ROUND(M63*I63,4)*Q63,2),VLOOKUP($E63,'2.จัดสรรหลังSK'!$E$4:$R$98,14,FALSE))</f>
        <v>14658287.439999999</v>
      </c>
      <c r="U63" s="93">
        <f>VLOOKUP($E63,'2.จัดสรรหลังSK'!$E$4:$S$98,15,FALSE)</f>
        <v>181664.64000000001</v>
      </c>
      <c r="V63" s="93">
        <f>VLOOKUP($E63,'2.จัดสรรหลังSK'!$E$4:$T$98,16,FALSE)</f>
        <v>0</v>
      </c>
      <c r="W63" s="93">
        <f>VLOOKUP($E63,'2.จัดสรรหลังSK'!$E$4:$U$98,17,FALSE)</f>
        <v>0</v>
      </c>
      <c r="X63" s="8">
        <f t="shared" si="21"/>
        <v>53875581.359999999</v>
      </c>
      <c r="Y63" s="8">
        <f>VLOOKUP($E63,'2.จัดสรรหลังSK'!$E$4:$W$98,19,FALSE)</f>
        <v>21960312</v>
      </c>
      <c r="Z63" s="93">
        <f t="shared" si="22"/>
        <v>31915269.359999999</v>
      </c>
      <c r="AA63" s="66">
        <v>0</v>
      </c>
      <c r="AB63" s="96">
        <f t="shared" si="23"/>
        <v>31915269.359999999</v>
      </c>
      <c r="AC63" s="8">
        <f>VLOOKUP($E63,'2.จัดสรรหลังSK'!$E$4:$AA$98,23,FALSE)</f>
        <v>27734421.43</v>
      </c>
      <c r="AD63" s="8">
        <f>VLOOKUP($E63,'2.จัดสรรหลังSK'!$E$4:$AB$98,24,FALSE)</f>
        <v>26274715.039999999</v>
      </c>
      <c r="AE63" s="8">
        <f t="shared" si="24"/>
        <v>4180847.93</v>
      </c>
      <c r="AF63" s="8">
        <f t="shared" si="25"/>
        <v>5640554.3200000003</v>
      </c>
      <c r="AG63" s="97" t="str">
        <f t="shared" si="26"/>
        <v>ผ่าน</v>
      </c>
      <c r="AH63" s="8">
        <f t="shared" si="31"/>
        <v>27734421.43</v>
      </c>
      <c r="AI63" s="98"/>
      <c r="AJ63" s="8">
        <f t="shared" si="27"/>
        <v>31915269.359999999</v>
      </c>
      <c r="AK63" s="98"/>
      <c r="AL63" s="98"/>
      <c r="AM63" s="8">
        <f t="shared" si="28"/>
        <v>0</v>
      </c>
      <c r="AN63" s="8">
        <f t="shared" si="29"/>
        <v>31915269.359999999</v>
      </c>
      <c r="AO63" s="8">
        <f t="shared" si="30"/>
        <v>31915269.359999999</v>
      </c>
    </row>
    <row r="64" spans="1:41" ht="14.25" customHeight="1" outlineLevel="2">
      <c r="A64" s="92">
        <v>544</v>
      </c>
      <c r="B64" s="60" t="s">
        <v>26</v>
      </c>
      <c r="C64" s="60" t="s">
        <v>103</v>
      </c>
      <c r="D64" s="60" t="s">
        <v>104</v>
      </c>
      <c r="E64" s="60" t="s">
        <v>125</v>
      </c>
      <c r="F64" s="60" t="s">
        <v>126</v>
      </c>
      <c r="G64" s="93">
        <v>1.25</v>
      </c>
      <c r="H64" s="71"/>
      <c r="I64" s="65">
        <f t="shared" si="19"/>
        <v>1.25</v>
      </c>
      <c r="J64" s="94">
        <f>VLOOKUP($E64,'2.จัดสรรหลังSK'!$E$4:$H$98,4,FALSE)</f>
        <v>32201</v>
      </c>
      <c r="K64" s="8">
        <f>IF($I$1=1,VLOOKUP($E64,'2.จัดสรรหลังSK'!$E$4:$AA$98,5,FALSE),VLOOKUP($E64,Step!$E$5:$AG$99,23,FALSE))</f>
        <v>1481.3969780441603</v>
      </c>
      <c r="L64" s="8">
        <f>IF($I$1=1,VLOOKUP($E64,'2.จัดสรรหลังSK'!$E$4:$AA$98,6,FALSE),VLOOKUP($E64,Step!$E$5:$AG$99,28,FALSE))</f>
        <v>283.78968075525603</v>
      </c>
      <c r="M64" s="95">
        <v>1936.6090999999999</v>
      </c>
      <c r="N64" s="95">
        <v>38.115400000000001</v>
      </c>
      <c r="O64" s="95">
        <v>0</v>
      </c>
      <c r="P64" s="95">
        <v>0</v>
      </c>
      <c r="Q64" s="93">
        <f t="shared" si="20"/>
        <v>7038.3311424701133</v>
      </c>
      <c r="R64" s="93">
        <f>IF($I$1=1,VLOOKUP($E64,'2.จัดสรรหลังSK'!$E$4:$AA$98,12,FALSE),VLOOKUP($E64,Step!$E$5:$AG$99,24,FALSE))</f>
        <v>47702464.090000004</v>
      </c>
      <c r="S64" s="93">
        <f>IF($I$1=1,VLOOKUP($E64,'2.จัดสรรหลังSK'!$E$4:$AA$98,13,FALSE),VLOOKUP($E64,Step!$E$5:$AG$99,29,FALSE))</f>
        <v>9138311.5099999998</v>
      </c>
      <c r="T64" s="65">
        <f>IF($H$111&lt;&gt;0,ROUND(ROUND(M64*I64,4)*Q64,2),VLOOKUP($E64,'2.จัดสรรหลังSK'!$E$4:$R$98,14,FALSE))</f>
        <v>17038120.350000001</v>
      </c>
      <c r="U64" s="93">
        <f>VLOOKUP($E64,'2.จัดสรรหลังSK'!$E$4:$S$98,15,FALSE)</f>
        <v>365907.84</v>
      </c>
      <c r="V64" s="93">
        <f>VLOOKUP($E64,'2.จัดสรรหลังSK'!$E$4:$T$98,16,FALSE)</f>
        <v>0</v>
      </c>
      <c r="W64" s="93">
        <f>VLOOKUP($E64,'2.จัดสรรหลังSK'!$E$4:$U$98,17,FALSE)</f>
        <v>0</v>
      </c>
      <c r="X64" s="8">
        <f t="shared" si="21"/>
        <v>74244803.790000007</v>
      </c>
      <c r="Y64" s="8">
        <f>VLOOKUP($E64,'2.จัดสรรหลังSK'!$E$4:$W$98,19,FALSE)</f>
        <v>24685842</v>
      </c>
      <c r="Z64" s="93">
        <f t="shared" si="22"/>
        <v>49558961.789999999</v>
      </c>
      <c r="AA64" s="66">
        <v>0</v>
      </c>
      <c r="AB64" s="96">
        <f t="shared" si="23"/>
        <v>49558961.789999999</v>
      </c>
      <c r="AC64" s="8">
        <f>VLOOKUP($E64,'2.จัดสรรหลังSK'!$E$4:$AA$98,23,FALSE)</f>
        <v>43678054.170000002</v>
      </c>
      <c r="AD64" s="8">
        <f>VLOOKUP($E64,'2.จัดสรรหลังSK'!$E$4:$AB$98,24,FALSE)</f>
        <v>41379209.219999999</v>
      </c>
      <c r="AE64" s="8">
        <f t="shared" si="24"/>
        <v>5880907.6200000001</v>
      </c>
      <c r="AF64" s="8">
        <f t="shared" si="25"/>
        <v>8179752.5700000003</v>
      </c>
      <c r="AG64" s="97" t="str">
        <f t="shared" si="26"/>
        <v>ผ่าน</v>
      </c>
      <c r="AH64" s="8">
        <f t="shared" si="31"/>
        <v>43678054.170000002</v>
      </c>
      <c r="AI64" s="98"/>
      <c r="AJ64" s="8">
        <f t="shared" si="27"/>
        <v>49558961.789999999</v>
      </c>
      <c r="AK64" s="98"/>
      <c r="AL64" s="98"/>
      <c r="AM64" s="8">
        <f t="shared" si="28"/>
        <v>0</v>
      </c>
      <c r="AN64" s="8">
        <f t="shared" si="29"/>
        <v>49558961.789999999</v>
      </c>
      <c r="AO64" s="8">
        <f t="shared" si="30"/>
        <v>49558961.789999999</v>
      </c>
    </row>
    <row r="65" spans="1:41" ht="14.25" customHeight="1" outlineLevel="2">
      <c r="A65" s="92">
        <v>545</v>
      </c>
      <c r="B65" s="60" t="s">
        <v>26</v>
      </c>
      <c r="C65" s="60" t="s">
        <v>103</v>
      </c>
      <c r="D65" s="60" t="s">
        <v>104</v>
      </c>
      <c r="E65" s="60" t="s">
        <v>127</v>
      </c>
      <c r="F65" s="60" t="s">
        <v>128</v>
      </c>
      <c r="G65" s="93">
        <v>1.2</v>
      </c>
      <c r="H65" s="71"/>
      <c r="I65" s="65">
        <f t="shared" si="19"/>
        <v>1.2</v>
      </c>
      <c r="J65" s="94">
        <f>VLOOKUP($E65,'2.จัดสรรหลังSK'!$E$4:$H$98,4,FALSE)</f>
        <v>42116</v>
      </c>
      <c r="K65" s="8">
        <f>IF($I$1=1,VLOOKUP($E65,'2.จัดสรรหลังSK'!$E$4:$AA$98,5,FALSE),VLOOKUP($E65,Step!$E$5:$AG$99,23,FALSE))</f>
        <v>1388.9621146357679</v>
      </c>
      <c r="L65" s="8">
        <f>IF($I$1=1,VLOOKUP($E65,'2.จัดสรรหลังSK'!$E$4:$AA$98,6,FALSE),VLOOKUP($E65,Step!$E$5:$AG$99,28,FALSE))</f>
        <v>266.08203010732262</v>
      </c>
      <c r="M65" s="95">
        <v>2521.5257000000001</v>
      </c>
      <c r="N65" s="95">
        <v>76.670299999999997</v>
      </c>
      <c r="O65" s="95">
        <v>7.5739999999999998</v>
      </c>
      <c r="P65" s="95">
        <v>0</v>
      </c>
      <c r="Q65" s="93">
        <f t="shared" si="20"/>
        <v>7038.3311424701133</v>
      </c>
      <c r="R65" s="93">
        <f>IF($I$1=1,VLOOKUP($E65,'2.จัดสรรหลังSK'!$E$4:$AA$98,12,FALSE),VLOOKUP($E65,Step!$E$5:$AG$99,24,FALSE))</f>
        <v>58497528.420000002</v>
      </c>
      <c r="S65" s="93">
        <f>IF($I$1=1,VLOOKUP($E65,'2.จัดสรรหลังSK'!$E$4:$AA$98,13,FALSE),VLOOKUP($E65,Step!$E$5:$AG$99,29,FALSE))</f>
        <v>11206310.779999999</v>
      </c>
      <c r="T65" s="65">
        <f>IF($H$111&lt;&gt;0,ROUND(ROUND(M65*I65,4)*Q65,2),VLOOKUP($E65,'2.จัดสรรหลังSK'!$E$4:$R$98,14,FALSE))</f>
        <v>21296799.149999999</v>
      </c>
      <c r="U65" s="93">
        <f>VLOOKUP($E65,'2.จัดสรรหลังSK'!$E$4:$S$98,15,FALSE)</f>
        <v>736034.88</v>
      </c>
      <c r="V65" s="93">
        <f>VLOOKUP($E65,'2.จัดสรรหลังSK'!$E$4:$T$98,16,FALSE)</f>
        <v>68166</v>
      </c>
      <c r="W65" s="93">
        <f>VLOOKUP($E65,'2.จัดสรรหลังSK'!$E$4:$U$98,17,FALSE)</f>
        <v>0</v>
      </c>
      <c r="X65" s="8">
        <f t="shared" si="21"/>
        <v>91804839.229999989</v>
      </c>
      <c r="Y65" s="8">
        <f>VLOOKUP($E65,'2.จัดสรรหลังSK'!$E$4:$W$98,19,FALSE)</f>
        <v>42781391</v>
      </c>
      <c r="Z65" s="93">
        <f t="shared" si="22"/>
        <v>49023448.229999997</v>
      </c>
      <c r="AA65" s="66">
        <v>0</v>
      </c>
      <c r="AB65" s="96">
        <f t="shared" si="23"/>
        <v>49023448.229999997</v>
      </c>
      <c r="AC65" s="8">
        <f>VLOOKUP($E65,'2.จัดสรรหลังSK'!$E$4:$AA$98,23,FALSE)</f>
        <v>45297341.57</v>
      </c>
      <c r="AD65" s="8">
        <f>VLOOKUP($E65,'2.จัดสรรหลังSK'!$E$4:$AB$98,24,FALSE)</f>
        <v>42913270.960000001</v>
      </c>
      <c r="AE65" s="8">
        <f t="shared" si="24"/>
        <v>3726106.66</v>
      </c>
      <c r="AF65" s="8">
        <f t="shared" si="25"/>
        <v>6110177.2699999996</v>
      </c>
      <c r="AG65" s="97" t="str">
        <f t="shared" si="26"/>
        <v>ผ่าน</v>
      </c>
      <c r="AH65" s="8">
        <f t="shared" si="31"/>
        <v>45297341.57</v>
      </c>
      <c r="AI65" s="98"/>
      <c r="AJ65" s="8">
        <f t="shared" si="27"/>
        <v>49023448.229999997</v>
      </c>
      <c r="AK65" s="98"/>
      <c r="AL65" s="98"/>
      <c r="AM65" s="8">
        <f t="shared" si="28"/>
        <v>0</v>
      </c>
      <c r="AN65" s="8">
        <f t="shared" si="29"/>
        <v>49023448.229999997</v>
      </c>
      <c r="AO65" s="8">
        <f t="shared" si="30"/>
        <v>49023448.229999997</v>
      </c>
    </row>
    <row r="66" spans="1:41" ht="14.25" customHeight="1" outlineLevel="2">
      <c r="A66" s="92">
        <v>546</v>
      </c>
      <c r="B66" s="60" t="s">
        <v>26</v>
      </c>
      <c r="C66" s="60" t="s">
        <v>103</v>
      </c>
      <c r="D66" s="60" t="s">
        <v>104</v>
      </c>
      <c r="E66" s="60" t="s">
        <v>129</v>
      </c>
      <c r="F66" s="60" t="s">
        <v>130</v>
      </c>
      <c r="G66" s="93">
        <v>1.25</v>
      </c>
      <c r="H66" s="71"/>
      <c r="I66" s="65">
        <f t="shared" si="19"/>
        <v>1.25</v>
      </c>
      <c r="J66" s="94">
        <f>VLOOKUP($E66,'2.จัดสรรหลังSK'!$E$4:$H$98,4,FALSE)</f>
        <v>31277</v>
      </c>
      <c r="K66" s="8">
        <f>IF($I$1=1,VLOOKUP($E66,'2.จัดสรรหลังSK'!$E$4:$AA$98,5,FALSE),VLOOKUP($E66,Step!$E$5:$AG$99,23,FALSE))</f>
        <v>1492.4140291588069</v>
      </c>
      <c r="L66" s="8">
        <f>IF($I$1=1,VLOOKUP($E66,'2.จัดสรรหลังSK'!$E$4:$AA$98,6,FALSE),VLOOKUP($E66,Step!$E$5:$AG$99,28,FALSE))</f>
        <v>285.90020590210059</v>
      </c>
      <c r="M66" s="95">
        <v>1906.1126999999999</v>
      </c>
      <c r="N66" s="95">
        <v>44.612099999999998</v>
      </c>
      <c r="O66" s="95">
        <v>0</v>
      </c>
      <c r="P66" s="95">
        <v>0</v>
      </c>
      <c r="Q66" s="93">
        <f t="shared" si="20"/>
        <v>7038.3311424701133</v>
      </c>
      <c r="R66" s="93">
        <f>IF($I$1=1,VLOOKUP($E66,'2.จัดสรรหลังSK'!$E$4:$AA$98,12,FALSE),VLOOKUP($E66,Step!$E$5:$AG$99,24,FALSE))</f>
        <v>46678233.590000004</v>
      </c>
      <c r="S66" s="93">
        <f>IF($I$1=1,VLOOKUP($E66,'2.จัดสรรหลังSK'!$E$4:$AA$98,13,FALSE),VLOOKUP($E66,Step!$E$5:$AG$99,29,FALSE))</f>
        <v>8942100.7400000002</v>
      </c>
      <c r="T66" s="65">
        <f>IF($H$111&lt;&gt;0,ROUND(ROUND(M66*I66,4)*Q66,2),VLOOKUP($E66,'2.จัดสรรหลังSK'!$E$4:$R$98,14,FALSE))</f>
        <v>16769815.640000001</v>
      </c>
      <c r="U66" s="93">
        <f>VLOOKUP($E66,'2.จัดสรรหลังSK'!$E$4:$S$98,15,FALSE)</f>
        <v>428276.16</v>
      </c>
      <c r="V66" s="93">
        <f>VLOOKUP($E66,'2.จัดสรรหลังSK'!$E$4:$T$98,16,FALSE)</f>
        <v>0</v>
      </c>
      <c r="W66" s="93">
        <f>VLOOKUP($E66,'2.จัดสรรหลังSK'!$E$4:$U$98,17,FALSE)</f>
        <v>0</v>
      </c>
      <c r="X66" s="8">
        <f t="shared" si="21"/>
        <v>72818426.129999995</v>
      </c>
      <c r="Y66" s="8">
        <f>VLOOKUP($E66,'2.จัดสรรหลังSK'!$E$4:$W$98,19,FALSE)</f>
        <v>24819708</v>
      </c>
      <c r="Z66" s="93">
        <f t="shared" si="22"/>
        <v>47998718.130000003</v>
      </c>
      <c r="AA66" s="66">
        <v>0</v>
      </c>
      <c r="AB66" s="96">
        <f t="shared" si="23"/>
        <v>47998718.130000003</v>
      </c>
      <c r="AC66" s="8">
        <f>VLOOKUP($E66,'2.จัดสรรหลังSK'!$E$4:$AA$98,23,FALSE)</f>
        <v>40874982.520000003</v>
      </c>
      <c r="AD66" s="8">
        <f>VLOOKUP($E66,'2.จัดสรรหลังSK'!$E$4:$AB$98,24,FALSE)</f>
        <v>38723667.649999999</v>
      </c>
      <c r="AE66" s="8">
        <f t="shared" si="24"/>
        <v>7123735.6100000003</v>
      </c>
      <c r="AF66" s="8">
        <f t="shared" si="25"/>
        <v>9275050.4800000004</v>
      </c>
      <c r="AG66" s="97" t="str">
        <f t="shared" si="26"/>
        <v>ผ่าน</v>
      </c>
      <c r="AH66" s="8">
        <f t="shared" si="31"/>
        <v>40874982.520000003</v>
      </c>
      <c r="AI66" s="98"/>
      <c r="AJ66" s="8">
        <f t="shared" si="27"/>
        <v>47998718.130000003</v>
      </c>
      <c r="AK66" s="98"/>
      <c r="AL66" s="98"/>
      <c r="AM66" s="8">
        <f t="shared" si="28"/>
        <v>0</v>
      </c>
      <c r="AN66" s="8">
        <f t="shared" si="29"/>
        <v>47998718.130000003</v>
      </c>
      <c r="AO66" s="8">
        <f t="shared" si="30"/>
        <v>47998718.130000003</v>
      </c>
    </row>
    <row r="67" spans="1:41" ht="14.25" customHeight="1" outlineLevel="2">
      <c r="A67" s="92">
        <v>547</v>
      </c>
      <c r="B67" s="104" t="s">
        <v>26</v>
      </c>
      <c r="C67" s="60" t="s">
        <v>103</v>
      </c>
      <c r="D67" s="104" t="s">
        <v>104</v>
      </c>
      <c r="E67" s="104" t="s">
        <v>131</v>
      </c>
      <c r="F67" s="104" t="s">
        <v>132</v>
      </c>
      <c r="G67" s="93">
        <v>1.35</v>
      </c>
      <c r="H67" s="106"/>
      <c r="I67" s="65">
        <f t="shared" si="19"/>
        <v>1.35</v>
      </c>
      <c r="J67" s="94">
        <f>VLOOKUP($E67,'2.จัดสรรหลังSK'!$E$4:$H$98,4,FALSE)</f>
        <v>19889</v>
      </c>
      <c r="K67" s="8">
        <f>IF($I$1=1,VLOOKUP($E67,'2.จัดสรรหลังSK'!$E$4:$AA$98,5,FALSE),VLOOKUP($E67,Step!$E$5:$AG$99,23,FALSE))</f>
        <v>1617.2987093368195</v>
      </c>
      <c r="L67" s="8">
        <f>IF($I$1=1,VLOOKUP($E67,'2.จัดสรรหลังSK'!$E$4:$AA$98,6,FALSE),VLOOKUP($E67,Step!$E$5:$AG$99,28,FALSE))</f>
        <v>309.82423450148326</v>
      </c>
      <c r="M67" s="95">
        <v>1040.8338000000001</v>
      </c>
      <c r="N67" s="95">
        <v>28.459700000000002</v>
      </c>
      <c r="O67" s="95">
        <v>0</v>
      </c>
      <c r="P67" s="95">
        <v>0</v>
      </c>
      <c r="Q67" s="93">
        <f t="shared" si="20"/>
        <v>7038.3311424701133</v>
      </c>
      <c r="R67" s="93">
        <f>IF($I$1=1,VLOOKUP($E67,'2.จัดสรรหลังSK'!$E$4:$AA$98,12,FALSE),VLOOKUP($E67,Step!$E$5:$AG$99,24,FALSE))</f>
        <v>32166454.030000001</v>
      </c>
      <c r="S67" s="93">
        <f>IF($I$1=1,VLOOKUP($E67,'2.จัดสรรหลังSK'!$E$4:$AA$98,13,FALSE),VLOOKUP($E67,Step!$E$5:$AG$99,29,FALSE))</f>
        <v>6162094.2000000002</v>
      </c>
      <c r="T67" s="65">
        <f>IF($H$111&lt;&gt;0,ROUND(ROUND(M67*I67,4)*Q67,2),VLOOKUP($E67,'2.จัดสรรหลังSK'!$E$4:$R$98,14,FALSE))</f>
        <v>9889739.2699999996</v>
      </c>
      <c r="U67" s="93">
        <f>VLOOKUP($E67,'2.จัดสรรหลังSK'!$E$4:$S$98,15,FALSE)</f>
        <v>273213.12</v>
      </c>
      <c r="V67" s="93">
        <f>VLOOKUP($E67,'2.จัดสรรหลังSK'!$E$4:$T$98,16,FALSE)</f>
        <v>0</v>
      </c>
      <c r="W67" s="93">
        <f>VLOOKUP($E67,'2.จัดสรรหลังSK'!$E$4:$U$98,17,FALSE)</f>
        <v>0</v>
      </c>
      <c r="X67" s="8">
        <f t="shared" si="21"/>
        <v>48491500.619999997</v>
      </c>
      <c r="Y67" s="8">
        <f>VLOOKUP($E67,'2.จัดสรรหลังSK'!$E$4:$W$98,19,FALSE)</f>
        <v>20878830</v>
      </c>
      <c r="Z67" s="93">
        <f t="shared" si="22"/>
        <v>27612670.620000001</v>
      </c>
      <c r="AA67" s="66">
        <v>0</v>
      </c>
      <c r="AB67" s="96">
        <f t="shared" si="23"/>
        <v>27612670.620000001</v>
      </c>
      <c r="AC67" s="8">
        <f>VLOOKUP($E67,'2.จัดสรรหลังSK'!$E$4:$AA$98,23,FALSE)</f>
        <v>27324469.02</v>
      </c>
      <c r="AD67" s="8">
        <f>VLOOKUP($E67,'2.จัดสรรหลังSK'!$E$4:$AB$98,24,FALSE)</f>
        <v>25886339.07</v>
      </c>
      <c r="AE67" s="8">
        <f t="shared" si="24"/>
        <v>288201.59999999998</v>
      </c>
      <c r="AF67" s="8">
        <f t="shared" si="25"/>
        <v>1726331.55</v>
      </c>
      <c r="AG67" s="97" t="str">
        <f t="shared" si="26"/>
        <v>ผ่าน</v>
      </c>
      <c r="AH67" s="8">
        <f t="shared" ref="AH67:AH76" si="34">IF(AND(AB67&gt;AD67,AB67&lt;AC67),AB67,AC67)</f>
        <v>27324469.02</v>
      </c>
      <c r="AI67" s="112"/>
      <c r="AJ67" s="8">
        <f t="shared" si="27"/>
        <v>27612670.620000001</v>
      </c>
      <c r="AK67" s="112"/>
      <c r="AL67" s="112"/>
      <c r="AM67" s="8">
        <f t="shared" si="28"/>
        <v>0</v>
      </c>
      <c r="AN67" s="8">
        <f t="shared" si="29"/>
        <v>27612670.620000001</v>
      </c>
      <c r="AO67" s="8">
        <f t="shared" si="30"/>
        <v>27612670.620000001</v>
      </c>
    </row>
    <row r="68" spans="1:41" ht="14.25" customHeight="1" outlineLevel="1">
      <c r="A68" s="172"/>
      <c r="B68" s="173"/>
      <c r="C68" s="104"/>
      <c r="D68" s="174" t="s">
        <v>266</v>
      </c>
      <c r="E68" s="173"/>
      <c r="F68" s="173"/>
      <c r="G68" s="175"/>
      <c r="H68" s="176"/>
      <c r="I68" s="177"/>
      <c r="J68" s="178">
        <f t="shared" ref="J68:AF68" si="35">SUBTOTAL(9,J54:J67)</f>
        <v>504700</v>
      </c>
      <c r="K68" s="179">
        <f t="shared" si="35"/>
        <v>20779.517478202848</v>
      </c>
      <c r="L68" s="179">
        <f t="shared" si="35"/>
        <v>3980.7105872381749</v>
      </c>
      <c r="M68" s="180">
        <f t="shared" si="35"/>
        <v>66224.734999999986</v>
      </c>
      <c r="N68" s="180">
        <f t="shared" si="35"/>
        <v>1438.2457999999999</v>
      </c>
      <c r="O68" s="180">
        <f t="shared" si="35"/>
        <v>3455.7498999999975</v>
      </c>
      <c r="P68" s="180">
        <f t="shared" si="35"/>
        <v>59.141199999999998</v>
      </c>
      <c r="Q68" s="175">
        <f t="shared" si="35"/>
        <v>98536.635994581549</v>
      </c>
      <c r="R68" s="175">
        <f t="shared" si="35"/>
        <v>691089878.05999994</v>
      </c>
      <c r="S68" s="175">
        <f t="shared" si="35"/>
        <v>132391370.35000001</v>
      </c>
      <c r="T68" s="177">
        <f t="shared" si="35"/>
        <v>535900571.36000001</v>
      </c>
      <c r="U68" s="175">
        <f t="shared" si="35"/>
        <v>13807159.68</v>
      </c>
      <c r="V68" s="175">
        <f t="shared" si="35"/>
        <v>31101749.099999998</v>
      </c>
      <c r="W68" s="175">
        <f t="shared" si="35"/>
        <v>709694.4</v>
      </c>
      <c r="X68" s="179">
        <f t="shared" si="35"/>
        <v>1405000422.9499998</v>
      </c>
      <c r="Y68" s="179">
        <f t="shared" si="35"/>
        <v>640310200</v>
      </c>
      <c r="Z68" s="175">
        <f t="shared" si="35"/>
        <v>764690222.95000005</v>
      </c>
      <c r="AA68" s="181">
        <f t="shared" si="35"/>
        <v>15876395.6</v>
      </c>
      <c r="AB68" s="182">
        <f t="shared" si="35"/>
        <v>780566618.55000007</v>
      </c>
      <c r="AC68" s="179">
        <f t="shared" si="35"/>
        <v>725289520.38</v>
      </c>
      <c r="AD68" s="179">
        <f t="shared" si="35"/>
        <v>687116387.71000016</v>
      </c>
      <c r="AE68" s="179">
        <f t="shared" si="35"/>
        <v>55277098.169999994</v>
      </c>
      <c r="AF68" s="179">
        <f t="shared" si="35"/>
        <v>93450230.839999989</v>
      </c>
      <c r="AG68" s="183"/>
      <c r="AH68" s="179">
        <f t="shared" ref="AH68:AO68" si="36">SUBTOTAL(9,AH54:AH67)</f>
        <v>725289520.38</v>
      </c>
      <c r="AI68" s="184">
        <f t="shared" si="36"/>
        <v>0</v>
      </c>
      <c r="AJ68" s="179">
        <f t="shared" si="36"/>
        <v>780566618.55000007</v>
      </c>
      <c r="AK68" s="184">
        <f t="shared" si="36"/>
        <v>0</v>
      </c>
      <c r="AL68" s="184">
        <f t="shared" si="36"/>
        <v>0</v>
      </c>
      <c r="AM68" s="179">
        <f t="shared" si="36"/>
        <v>0</v>
      </c>
      <c r="AN68" s="179">
        <f t="shared" si="36"/>
        <v>780566618.55000007</v>
      </c>
      <c r="AO68" s="179">
        <f t="shared" si="36"/>
        <v>780566618.55000007</v>
      </c>
    </row>
    <row r="69" spans="1:41" ht="14.25" customHeight="1" outlineLevel="2">
      <c r="A69" s="157">
        <v>548</v>
      </c>
      <c r="B69" s="104" t="s">
        <v>26</v>
      </c>
      <c r="C69" s="104" t="s">
        <v>133</v>
      </c>
      <c r="D69" s="104" t="s">
        <v>134</v>
      </c>
      <c r="E69" s="104" t="s">
        <v>135</v>
      </c>
      <c r="F69" s="104" t="s">
        <v>136</v>
      </c>
      <c r="G69" s="105">
        <v>1.1000000000000001</v>
      </c>
      <c r="H69" s="106"/>
      <c r="I69" s="107">
        <f t="shared" si="19"/>
        <v>1.1000000000000001</v>
      </c>
      <c r="J69" s="158">
        <f>VLOOKUP($E69,'2.จัดสรรหลังSK'!$E$4:$H$98,4,FALSE)</f>
        <v>113184</v>
      </c>
      <c r="K69" s="108">
        <f>IF($I$1=1,VLOOKUP($E69,'2.จัดสรรหลังSK'!$E$4:$AA$98,5,FALSE),VLOOKUP($E69,Step!$E$5:$AG$99,23,FALSE))</f>
        <v>1060.0746291878711</v>
      </c>
      <c r="L69" s="108">
        <f>IF($I$1=1,VLOOKUP($E69,'2.จัดสรรหลังSK'!$E$4:$AA$98,6,FALSE),VLOOKUP($E69,Step!$E$5:$AG$99,28,FALSE))</f>
        <v>204.61961116412215</v>
      </c>
      <c r="M69" s="109">
        <v>25036.7287</v>
      </c>
      <c r="N69" s="109">
        <v>802.25710000000004</v>
      </c>
      <c r="O69" s="109">
        <v>612.93159999999966</v>
      </c>
      <c r="P69" s="109">
        <v>158.67240000000004</v>
      </c>
      <c r="Q69" s="105">
        <f t="shared" si="20"/>
        <v>7038.3311424701133</v>
      </c>
      <c r="R69" s="105">
        <f>IF($I$1=1,VLOOKUP($E69,'2.จัดสรรหลังSK'!$E$4:$AA$98,12,FALSE),VLOOKUP($E69,Step!$E$5:$AG$99,24,FALSE))</f>
        <v>119983486.83</v>
      </c>
      <c r="S69" s="105">
        <f>IF($I$1=1,VLOOKUP($E69,'2.จัดสรรหลังSK'!$E$4:$AA$98,13,FALSE),VLOOKUP($E69,Step!$E$5:$AG$99,29,FALSE))</f>
        <v>23159666.07</v>
      </c>
      <c r="T69" s="65">
        <f>IF($H$111&lt;&gt;0,ROUND(ROUND(M69*I69,4)*Q69,2),VLOOKUP($E69,'2.จัดสรรหลังSK'!$E$4:$R$98,14,FALSE))</f>
        <v>193838466.21000001</v>
      </c>
      <c r="U69" s="105">
        <f>VLOOKUP($E69,'2.จัดสรรหลังSK'!$E$4:$S$98,15,FALSE)</f>
        <v>7701668.1600000001</v>
      </c>
      <c r="V69" s="105">
        <f>VLOOKUP($E69,'2.จัดสรรหลังSK'!$E$4:$T$98,16,FALSE)</f>
        <v>5516384.4000000004</v>
      </c>
      <c r="W69" s="105">
        <f>VLOOKUP($E69,'2.จัดสรรหลังSK'!$E$4:$U$98,17,FALSE)</f>
        <v>1904068.8</v>
      </c>
      <c r="X69" s="108">
        <f t="shared" si="21"/>
        <v>352103740.47000003</v>
      </c>
      <c r="Y69" s="108">
        <f>VLOOKUP($E69,'2.จัดสรรหลังSK'!$E$4:$W$98,19,FALSE)</f>
        <v>226005100</v>
      </c>
      <c r="Z69" s="105">
        <f t="shared" si="22"/>
        <v>126098640.47</v>
      </c>
      <c r="AA69" s="110">
        <v>7190376.9900000002</v>
      </c>
      <c r="AB69" s="111">
        <f t="shared" si="23"/>
        <v>133289017.45999999</v>
      </c>
      <c r="AC69" s="108">
        <f>VLOOKUP($E69,'2.จัดสรรหลังSK'!$E$4:$AA$98,23,FALSE)</f>
        <v>133289017.45999999</v>
      </c>
      <c r="AD69" s="108">
        <f>VLOOKUP($E69,'2.จัดสรรหลังSK'!$E$4:$AB$98,24,FALSE)</f>
        <v>126273806.02</v>
      </c>
      <c r="AE69" s="108">
        <f t="shared" si="24"/>
        <v>0</v>
      </c>
      <c r="AF69" s="108">
        <f t="shared" si="25"/>
        <v>7015211.4400000004</v>
      </c>
      <c r="AG69" s="159" t="str">
        <f t="shared" si="26"/>
        <v>ผ่าน</v>
      </c>
      <c r="AH69" s="108">
        <f t="shared" si="34"/>
        <v>133289017.45999999</v>
      </c>
      <c r="AI69" s="112"/>
      <c r="AJ69" s="108">
        <f t="shared" si="27"/>
        <v>133289017.45999999</v>
      </c>
      <c r="AK69" s="112"/>
      <c r="AL69" s="112"/>
      <c r="AM69" s="108">
        <f t="shared" si="28"/>
        <v>0</v>
      </c>
      <c r="AN69" s="108">
        <f t="shared" si="29"/>
        <v>133289017.45999999</v>
      </c>
      <c r="AO69" s="108">
        <f t="shared" si="30"/>
        <v>133289017.45999999</v>
      </c>
    </row>
    <row r="70" spans="1:41" ht="14.25" customHeight="1" outlineLevel="2">
      <c r="A70" s="92">
        <v>549</v>
      </c>
      <c r="B70" s="60" t="s">
        <v>26</v>
      </c>
      <c r="C70" s="60" t="s">
        <v>133</v>
      </c>
      <c r="D70" s="60" t="s">
        <v>134</v>
      </c>
      <c r="E70" s="60" t="s">
        <v>137</v>
      </c>
      <c r="F70" s="60" t="s">
        <v>138</v>
      </c>
      <c r="G70" s="93">
        <v>1.1499999999999999</v>
      </c>
      <c r="H70" s="71"/>
      <c r="I70" s="65">
        <f t="shared" si="19"/>
        <v>1.1499999999999999</v>
      </c>
      <c r="J70" s="94">
        <f>VLOOKUP($E70,'2.จัดสรรหลังSK'!$E$4:$H$98,4,FALSE)</f>
        <v>59426</v>
      </c>
      <c r="K70" s="8">
        <f>IF($I$1=1,VLOOKUP($E70,'2.จัดสรรหลังSK'!$E$4:$AA$98,5,FALSE),VLOOKUP($E70,Step!$E$5:$AG$99,23,FALSE))</f>
        <v>1251.4872437990107</v>
      </c>
      <c r="L70" s="8">
        <f>IF($I$1=1,VLOOKUP($E70,'2.จัดสรรหลังSK'!$E$4:$AA$98,6,FALSE),VLOOKUP($E70,Step!$E$5:$AG$99,28,FALSE))</f>
        <v>241.56679752970081</v>
      </c>
      <c r="M70" s="95">
        <v>4158.5572000000002</v>
      </c>
      <c r="N70" s="95">
        <v>72.887799999999999</v>
      </c>
      <c r="O70" s="95">
        <v>0</v>
      </c>
      <c r="P70" s="95">
        <v>0</v>
      </c>
      <c r="Q70" s="93">
        <f t="shared" si="20"/>
        <v>7038.3311424701133</v>
      </c>
      <c r="R70" s="93">
        <f>IF($I$1=1,VLOOKUP($E70,'2.จัดสรรหลังSK'!$E$4:$AA$98,12,FALSE),VLOOKUP($E70,Step!$E$5:$AG$99,24,FALSE))</f>
        <v>74370880.950000003</v>
      </c>
      <c r="S70" s="93">
        <f>IF($I$1=1,VLOOKUP($E70,'2.จัดสรรหลังSK'!$E$4:$AA$98,13,FALSE),VLOOKUP($E70,Step!$E$5:$AG$99,29,FALSE))</f>
        <v>14355348.51</v>
      </c>
      <c r="T70" s="65">
        <f>IF($H$111&lt;&gt;0,ROUND(ROUND(M70*I70,4)*Q70,2),VLOOKUP($E70,'2.จัดสรรหลังSK'!$E$4:$R$98,14,FALSE))</f>
        <v>33659698.18</v>
      </c>
      <c r="U70" s="93">
        <f>VLOOKUP($E70,'2.จัดสรรหลังSK'!$E$4:$S$98,15,FALSE)</f>
        <v>699722.88</v>
      </c>
      <c r="V70" s="93">
        <f>VLOOKUP($E70,'2.จัดสรรหลังSK'!$E$4:$T$98,16,FALSE)</f>
        <v>0</v>
      </c>
      <c r="W70" s="93">
        <f>VLOOKUP($E70,'2.จัดสรรหลังSK'!$E$4:$U$98,17,FALSE)</f>
        <v>0</v>
      </c>
      <c r="X70" s="8">
        <f t="shared" si="21"/>
        <v>123085650.52000001</v>
      </c>
      <c r="Y70" s="8">
        <f>VLOOKUP($E70,'2.จัดสรรหลังSK'!$E$4:$W$98,19,FALSE)</f>
        <v>63829513</v>
      </c>
      <c r="Z70" s="93">
        <f t="shared" si="22"/>
        <v>59256137.520000003</v>
      </c>
      <c r="AA70" s="66">
        <v>5329898.3899999997</v>
      </c>
      <c r="AB70" s="96">
        <f t="shared" si="23"/>
        <v>64586035.909999996</v>
      </c>
      <c r="AC70" s="8">
        <f>VLOOKUP($E70,'2.จัดสรรหลังSK'!$E$4:$AA$98,23,FALSE)</f>
        <v>64586035.909999996</v>
      </c>
      <c r="AD70" s="8">
        <f>VLOOKUP($E70,'2.จัดสรรหลังSK'!$E$4:$AB$98,24,FALSE)</f>
        <v>61186770.859999999</v>
      </c>
      <c r="AE70" s="8">
        <f t="shared" si="24"/>
        <v>0</v>
      </c>
      <c r="AF70" s="8">
        <f t="shared" si="25"/>
        <v>3399265.05</v>
      </c>
      <c r="AG70" s="97" t="str">
        <f t="shared" si="26"/>
        <v>ผ่าน</v>
      </c>
      <c r="AH70" s="8">
        <f t="shared" si="34"/>
        <v>64586035.909999996</v>
      </c>
      <c r="AI70" s="98"/>
      <c r="AJ70" s="8">
        <f t="shared" si="27"/>
        <v>64586035.909999996</v>
      </c>
      <c r="AK70" s="98"/>
      <c r="AL70" s="98"/>
      <c r="AM70" s="8">
        <f t="shared" si="28"/>
        <v>0</v>
      </c>
      <c r="AN70" s="8">
        <f t="shared" si="29"/>
        <v>64586035.909999996</v>
      </c>
      <c r="AO70" s="8">
        <f t="shared" si="30"/>
        <v>64586035.909999996</v>
      </c>
    </row>
    <row r="71" spans="1:41" ht="14.25" customHeight="1" outlineLevel="2">
      <c r="A71" s="92">
        <v>550</v>
      </c>
      <c r="B71" s="60" t="s">
        <v>26</v>
      </c>
      <c r="C71" s="60" t="s">
        <v>133</v>
      </c>
      <c r="D71" s="60" t="s">
        <v>134</v>
      </c>
      <c r="E71" s="60" t="s">
        <v>139</v>
      </c>
      <c r="F71" s="60" t="s">
        <v>140</v>
      </c>
      <c r="G71" s="93">
        <v>1.3</v>
      </c>
      <c r="H71" s="71"/>
      <c r="I71" s="65">
        <f t="shared" si="19"/>
        <v>1.3</v>
      </c>
      <c r="J71" s="94">
        <f>VLOOKUP($E71,'2.จัดสรรหลังSK'!$E$4:$H$98,4,FALSE)</f>
        <v>23573</v>
      </c>
      <c r="K71" s="8">
        <f>IF($I$1=1,VLOOKUP($E71,'2.จัดสรรหลังSK'!$E$4:$AA$98,5,FALSE),VLOOKUP($E71,Step!$E$5:$AG$99,23,FALSE))</f>
        <v>1549.9184414372376</v>
      </c>
      <c r="L71" s="8">
        <f>IF($I$1=1,VLOOKUP($E71,'2.จัดสรรหลังSK'!$E$4:$AA$98,6,FALSE),VLOOKUP($E71,Step!$E$5:$AG$99,28,FALSE))</f>
        <v>299.17111525898275</v>
      </c>
      <c r="M71" s="95">
        <v>1035.9312</v>
      </c>
      <c r="N71" s="95">
        <v>31.698699999999999</v>
      </c>
      <c r="O71" s="95">
        <v>0</v>
      </c>
      <c r="P71" s="95">
        <v>0</v>
      </c>
      <c r="Q71" s="93">
        <f t="shared" si="20"/>
        <v>7038.3311424701133</v>
      </c>
      <c r="R71" s="93">
        <f>IF($I$1=1,VLOOKUP($E71,'2.จัดสรรหลังSK'!$E$4:$AA$98,12,FALSE),VLOOKUP($E71,Step!$E$5:$AG$99,24,FALSE))</f>
        <v>36536227.420000002</v>
      </c>
      <c r="S71" s="93">
        <f>IF($I$1=1,VLOOKUP($E71,'2.จัดสรรหลังSK'!$E$4:$AA$98,13,FALSE),VLOOKUP($E71,Step!$E$5:$AG$99,29,FALSE))</f>
        <v>7052360.7000000002</v>
      </c>
      <c r="T71" s="65">
        <f>IF($H$111&lt;&gt;0,ROUND(ROUND(M71*I71,4)*Q71,2),VLOOKUP($E71,'2.จัดสรรหลังSK'!$E$4:$R$98,14,FALSE))</f>
        <v>9478595.1500000004</v>
      </c>
      <c r="U71" s="93">
        <f>VLOOKUP($E71,'2.จัดสรรหลังSK'!$E$4:$S$98,15,FALSE)</f>
        <v>304307.52</v>
      </c>
      <c r="V71" s="93">
        <f>VLOOKUP($E71,'2.จัดสรรหลังSK'!$E$4:$T$98,16,FALSE)</f>
        <v>0</v>
      </c>
      <c r="W71" s="93">
        <f>VLOOKUP($E71,'2.จัดสรรหลังSK'!$E$4:$U$98,17,FALSE)</f>
        <v>0</v>
      </c>
      <c r="X71" s="8">
        <f t="shared" si="21"/>
        <v>53371490.790000007</v>
      </c>
      <c r="Y71" s="8">
        <f>VLOOKUP($E71,'2.จัดสรรหลังSK'!$E$4:$W$98,19,FALSE)</f>
        <v>29102865</v>
      </c>
      <c r="Z71" s="93">
        <f t="shared" si="22"/>
        <v>24268625.789999999</v>
      </c>
      <c r="AA71" s="66">
        <v>0</v>
      </c>
      <c r="AB71" s="96">
        <f t="shared" si="23"/>
        <v>24268625.789999999</v>
      </c>
      <c r="AC71" s="8">
        <f>VLOOKUP($E71,'2.จัดสรรหลังSK'!$E$4:$AA$98,23,FALSE)</f>
        <v>22480518.870000001</v>
      </c>
      <c r="AD71" s="8">
        <f>VLOOKUP($E71,'2.จัดสรรหลังSK'!$E$4:$AB$98,24,FALSE)</f>
        <v>21297333.66</v>
      </c>
      <c r="AE71" s="8">
        <f t="shared" si="24"/>
        <v>1788106.92</v>
      </c>
      <c r="AF71" s="8">
        <f t="shared" si="25"/>
        <v>2971292.13</v>
      </c>
      <c r="AG71" s="97" t="str">
        <f t="shared" si="26"/>
        <v>ผ่าน</v>
      </c>
      <c r="AH71" s="8">
        <f t="shared" si="34"/>
        <v>22480518.870000001</v>
      </c>
      <c r="AI71" s="98"/>
      <c r="AJ71" s="8">
        <f t="shared" si="27"/>
        <v>24268625.789999999</v>
      </c>
      <c r="AK71" s="98"/>
      <c r="AL71" s="98"/>
      <c r="AM71" s="8">
        <f t="shared" si="28"/>
        <v>0</v>
      </c>
      <c r="AN71" s="8">
        <f t="shared" si="29"/>
        <v>24268625.789999999</v>
      </c>
      <c r="AO71" s="8">
        <f t="shared" si="30"/>
        <v>24268625.789999999</v>
      </c>
    </row>
    <row r="72" spans="1:41" ht="14.25" customHeight="1" outlineLevel="2">
      <c r="A72" s="92">
        <v>551</v>
      </c>
      <c r="B72" s="60" t="s">
        <v>26</v>
      </c>
      <c r="C72" s="60" t="s">
        <v>133</v>
      </c>
      <c r="D72" s="60" t="s">
        <v>134</v>
      </c>
      <c r="E72" s="60" t="s">
        <v>141</v>
      </c>
      <c r="F72" s="60" t="s">
        <v>142</v>
      </c>
      <c r="G72" s="93">
        <v>1.3</v>
      </c>
      <c r="H72" s="71"/>
      <c r="I72" s="65">
        <f t="shared" si="19"/>
        <v>1.3</v>
      </c>
      <c r="J72" s="94">
        <f>VLOOKUP($E72,'2.จัดสรรหลังSK'!$E$4:$H$98,4,FALSE)</f>
        <v>20766</v>
      </c>
      <c r="K72" s="8">
        <f>IF($I$1=1,VLOOKUP($E72,'2.จัดสรรหลังSK'!$E$4:$AA$98,5,FALSE),VLOOKUP($E72,Step!$E$5:$AG$99,23,FALSE))</f>
        <v>1586.5801391697969</v>
      </c>
      <c r="L72" s="8">
        <f>IF($I$1=1,VLOOKUP($E72,'2.จัดสรรหลังSK'!$E$4:$AA$98,6,FALSE),VLOOKUP($E72,Step!$E$5:$AG$99,28,FALSE))</f>
        <v>306.24769478955983</v>
      </c>
      <c r="M72" s="95">
        <v>1600.0196000000001</v>
      </c>
      <c r="N72" s="95">
        <v>32.459099999999999</v>
      </c>
      <c r="O72" s="95">
        <v>0</v>
      </c>
      <c r="P72" s="95">
        <v>0</v>
      </c>
      <c r="Q72" s="93">
        <f t="shared" si="20"/>
        <v>7038.3311424701133</v>
      </c>
      <c r="R72" s="93">
        <f>IF($I$1=1,VLOOKUP($E72,'2.จัดสรรหลังSK'!$E$4:$AA$98,12,FALSE),VLOOKUP($E72,Step!$E$5:$AG$99,24,FALSE))</f>
        <v>32946923.170000002</v>
      </c>
      <c r="S72" s="93">
        <f>IF($I$1=1,VLOOKUP($E72,'2.จัดสรรหลังSK'!$E$4:$AA$98,13,FALSE),VLOOKUP($E72,Step!$E$5:$AG$99,29,FALSE))</f>
        <v>6359539.6299999999</v>
      </c>
      <c r="T72" s="65">
        <f>IF($H$111&lt;&gt;0,ROUND(ROUND(M72*I72,4)*Q72,2),VLOOKUP($E72,'2.จัดสรรหลังSK'!$E$4:$R$98,14,FALSE))</f>
        <v>14639908.25</v>
      </c>
      <c r="U72" s="93">
        <f>VLOOKUP($E72,'2.จัดสรรหลังSK'!$E$4:$S$98,15,FALSE)</f>
        <v>311607.36</v>
      </c>
      <c r="V72" s="93">
        <f>VLOOKUP($E72,'2.จัดสรรหลังSK'!$E$4:$T$98,16,FALSE)</f>
        <v>0</v>
      </c>
      <c r="W72" s="93">
        <f>VLOOKUP($E72,'2.จัดสรรหลังSK'!$E$4:$U$98,17,FALSE)</f>
        <v>0</v>
      </c>
      <c r="X72" s="8">
        <f t="shared" si="21"/>
        <v>54257978.410000004</v>
      </c>
      <c r="Y72" s="8">
        <f>VLOOKUP($E72,'2.จัดสรรหลังSK'!$E$4:$W$98,19,FALSE)</f>
        <v>23998564</v>
      </c>
      <c r="Z72" s="93">
        <f t="shared" si="22"/>
        <v>30259414.41</v>
      </c>
      <c r="AA72" s="66">
        <v>0</v>
      </c>
      <c r="AB72" s="96">
        <f t="shared" si="23"/>
        <v>30259414.41</v>
      </c>
      <c r="AC72" s="8">
        <f>VLOOKUP($E72,'2.จัดสรรหลังSK'!$E$4:$AA$98,23,FALSE)</f>
        <v>27687995.539999999</v>
      </c>
      <c r="AD72" s="8">
        <f>VLOOKUP($E72,'2.จัดสรรหลังSK'!$E$4:$AB$98,24,FALSE)</f>
        <v>26230732.609999999</v>
      </c>
      <c r="AE72" s="8">
        <f t="shared" si="24"/>
        <v>2571418.87</v>
      </c>
      <c r="AF72" s="8">
        <f t="shared" si="25"/>
        <v>4028681.8</v>
      </c>
      <c r="AG72" s="97" t="str">
        <f t="shared" si="26"/>
        <v>ผ่าน</v>
      </c>
      <c r="AH72" s="8">
        <f t="shared" si="34"/>
        <v>27687995.539999999</v>
      </c>
      <c r="AI72" s="98"/>
      <c r="AJ72" s="8">
        <f t="shared" si="27"/>
        <v>30259414.41</v>
      </c>
      <c r="AK72" s="98"/>
      <c r="AL72" s="98"/>
      <c r="AM72" s="8">
        <f t="shared" si="28"/>
        <v>0</v>
      </c>
      <c r="AN72" s="8">
        <f t="shared" si="29"/>
        <v>30259414.41</v>
      </c>
      <c r="AO72" s="8">
        <f t="shared" si="30"/>
        <v>30259414.41</v>
      </c>
    </row>
    <row r="73" spans="1:41" ht="14.25" customHeight="1" outlineLevel="2">
      <c r="A73" s="92">
        <v>552</v>
      </c>
      <c r="B73" s="60" t="s">
        <v>26</v>
      </c>
      <c r="C73" s="60" t="s">
        <v>133</v>
      </c>
      <c r="D73" s="60" t="s">
        <v>134</v>
      </c>
      <c r="E73" s="60" t="s">
        <v>143</v>
      </c>
      <c r="F73" s="60" t="s">
        <v>144</v>
      </c>
      <c r="G73" s="93">
        <v>1.1499999999999999</v>
      </c>
      <c r="H73" s="71"/>
      <c r="I73" s="65">
        <f t="shared" si="19"/>
        <v>1.1499999999999999</v>
      </c>
      <c r="J73" s="94">
        <f>VLOOKUP($E73,'2.จัดสรรหลังSK'!$E$4:$H$98,4,FALSE)</f>
        <v>63797</v>
      </c>
      <c r="K73" s="8">
        <f>IF($I$1=1,VLOOKUP($E73,'2.จัดสรรหลังSK'!$E$4:$AA$98,5,FALSE),VLOOKUP($E73,Step!$E$5:$AG$99,23,FALSE))</f>
        <v>1225.602412339138</v>
      </c>
      <c r="L73" s="8">
        <f>IF($I$1=1,VLOOKUP($E73,'2.จัดสรรหลังSK'!$E$4:$AA$98,6,FALSE),VLOOKUP($E73,Step!$E$5:$AG$99,28,FALSE))</f>
        <v>236.57040942364063</v>
      </c>
      <c r="M73" s="95">
        <v>15479.2256</v>
      </c>
      <c r="N73" s="95">
        <v>185.00049999999999</v>
      </c>
      <c r="O73" s="95">
        <v>246.59649999999996</v>
      </c>
      <c r="P73" s="95">
        <v>25.874000000000002</v>
      </c>
      <c r="Q73" s="93">
        <f t="shared" si="20"/>
        <v>7038.3311424701133</v>
      </c>
      <c r="R73" s="93">
        <f>IF($I$1=1,VLOOKUP($E73,'2.จัดสรรหลังSK'!$E$4:$AA$98,12,FALSE),VLOOKUP($E73,Step!$E$5:$AG$99,24,FALSE))</f>
        <v>78189757.099999994</v>
      </c>
      <c r="S73" s="93">
        <f>IF($I$1=1,VLOOKUP($E73,'2.จัดสรรหลังSK'!$E$4:$AA$98,13,FALSE),VLOOKUP($E73,Step!$E$5:$AG$99,29,FALSE))</f>
        <v>15092482.41</v>
      </c>
      <c r="T73" s="65">
        <f>IF($H$111&lt;&gt;0,ROUND(ROUND(M73*I73,4)*Q73,2),VLOOKUP($E73,'2.จัดสรรหลังSK'!$E$4:$R$98,14,FALSE))</f>
        <v>125290102.63</v>
      </c>
      <c r="U73" s="93">
        <f>VLOOKUP($E73,'2.จัดสรรหลังSK'!$E$4:$S$98,15,FALSE)</f>
        <v>1776004.8</v>
      </c>
      <c r="V73" s="93">
        <f>VLOOKUP($E73,'2.จัดสรรหลังSK'!$E$4:$T$98,16,FALSE)</f>
        <v>2219368.5</v>
      </c>
      <c r="W73" s="93">
        <f>VLOOKUP($E73,'2.จัดสรรหลังSK'!$E$4:$U$98,17,FALSE)</f>
        <v>310488</v>
      </c>
      <c r="X73" s="8">
        <f t="shared" si="21"/>
        <v>222878203.44</v>
      </c>
      <c r="Y73" s="8">
        <f>VLOOKUP($E73,'2.จัดสรรหลังSK'!$E$4:$W$98,19,FALSE)</f>
        <v>105614700</v>
      </c>
      <c r="Z73" s="93">
        <f t="shared" si="22"/>
        <v>117263503.44</v>
      </c>
      <c r="AA73" s="66">
        <v>5036880.57</v>
      </c>
      <c r="AB73" s="96">
        <f t="shared" si="23"/>
        <v>122300384.01000001</v>
      </c>
      <c r="AC73" s="8">
        <f>VLOOKUP($E73,'2.จัดสรรหลังSK'!$E$4:$AA$98,23,FALSE)</f>
        <v>122300384.01000001</v>
      </c>
      <c r="AD73" s="8">
        <f>VLOOKUP($E73,'2.จัดสรรหลังSK'!$E$4:$AB$98,24,FALSE)</f>
        <v>115863521.7</v>
      </c>
      <c r="AE73" s="8">
        <f t="shared" si="24"/>
        <v>0</v>
      </c>
      <c r="AF73" s="8">
        <f t="shared" si="25"/>
        <v>6436862.3099999996</v>
      </c>
      <c r="AG73" s="97" t="str">
        <f t="shared" si="26"/>
        <v>ผ่าน</v>
      </c>
      <c r="AH73" s="8">
        <f t="shared" si="34"/>
        <v>122300384.01000001</v>
      </c>
      <c r="AI73" s="98"/>
      <c r="AJ73" s="8">
        <f t="shared" si="27"/>
        <v>122300384.01000001</v>
      </c>
      <c r="AK73" s="98"/>
      <c r="AL73" s="98"/>
      <c r="AM73" s="8">
        <f t="shared" si="28"/>
        <v>0</v>
      </c>
      <c r="AN73" s="8">
        <f t="shared" si="29"/>
        <v>122300384.01000001</v>
      </c>
      <c r="AO73" s="8">
        <f t="shared" si="30"/>
        <v>122300384.01000001</v>
      </c>
    </row>
    <row r="74" spans="1:41" ht="14.25" customHeight="1" outlineLevel="2">
      <c r="A74" s="92">
        <v>553</v>
      </c>
      <c r="B74" s="60" t="s">
        <v>26</v>
      </c>
      <c r="C74" s="60" t="s">
        <v>133</v>
      </c>
      <c r="D74" s="60" t="s">
        <v>134</v>
      </c>
      <c r="E74" s="60" t="s">
        <v>145</v>
      </c>
      <c r="F74" s="60" t="s">
        <v>146</v>
      </c>
      <c r="G74" s="93">
        <v>1.3</v>
      </c>
      <c r="H74" s="71"/>
      <c r="I74" s="65">
        <f t="shared" si="19"/>
        <v>1.3</v>
      </c>
      <c r="J74" s="94">
        <f>VLOOKUP($E74,'2.จัดสรรหลังSK'!$E$4:$H$98,4,FALSE)</f>
        <v>20286</v>
      </c>
      <c r="K74" s="8">
        <f>IF($I$1=1,VLOOKUP($E74,'2.จัดสรรหลังSK'!$E$4:$AA$98,5,FALSE),VLOOKUP($E74,Step!$E$5:$AG$99,23,FALSE))</f>
        <v>1593.8651439416346</v>
      </c>
      <c r="L74" s="8">
        <f>IF($I$1=1,VLOOKUP($E74,'2.จัดสรรหลังSK'!$E$4:$AA$98,6,FALSE),VLOOKUP($E74,Step!$E$5:$AG$99,28,FALSE))</f>
        <v>307.65387410036482</v>
      </c>
      <c r="M74" s="95">
        <v>764.00919999999996</v>
      </c>
      <c r="N74" s="95">
        <v>14.5219</v>
      </c>
      <c r="O74" s="95">
        <v>0</v>
      </c>
      <c r="P74" s="95">
        <v>0</v>
      </c>
      <c r="Q74" s="93">
        <f t="shared" si="20"/>
        <v>7038.3311424701133</v>
      </c>
      <c r="R74" s="93">
        <f>IF($I$1=1,VLOOKUP($E74,'2.จัดสรรหลังSK'!$E$4:$AA$98,12,FALSE),VLOOKUP($E74,Step!$E$5:$AG$99,24,FALSE))</f>
        <v>32333148.309999999</v>
      </c>
      <c r="S74" s="93">
        <f>IF($I$1=1,VLOOKUP($E74,'2.จัดสรรหลังSK'!$E$4:$AA$98,13,FALSE),VLOOKUP($E74,Step!$E$5:$AG$99,29,FALSE))</f>
        <v>6241066.4900000002</v>
      </c>
      <c r="T74" s="65">
        <f>IF($H$111&lt;&gt;0,ROUND(ROUND(M74*I74,4)*Q74,2),VLOOKUP($E74,'2.จัดสรรหลังSK'!$E$4:$R$98,14,FALSE))</f>
        <v>6990554.9500000002</v>
      </c>
      <c r="U74" s="93">
        <f>VLOOKUP($E74,'2.จัดสรรหลังSK'!$E$4:$S$98,15,FALSE)</f>
        <v>139410.23999999999</v>
      </c>
      <c r="V74" s="93">
        <f>VLOOKUP($E74,'2.จัดสรรหลังSK'!$E$4:$T$98,16,FALSE)</f>
        <v>0</v>
      </c>
      <c r="W74" s="93">
        <f>VLOOKUP($E74,'2.จัดสรรหลังSK'!$E$4:$U$98,17,FALSE)</f>
        <v>0</v>
      </c>
      <c r="X74" s="8">
        <f t="shared" si="21"/>
        <v>45704179.990000002</v>
      </c>
      <c r="Y74" s="8">
        <f>VLOOKUP($E74,'2.จัดสรรหลังSK'!$E$4:$W$98,19,FALSE)</f>
        <v>18503619</v>
      </c>
      <c r="Z74" s="93">
        <f t="shared" si="22"/>
        <v>27200560.989999998</v>
      </c>
      <c r="AA74" s="66">
        <v>0</v>
      </c>
      <c r="AB74" s="96">
        <f t="shared" si="23"/>
        <v>27200560.989999998</v>
      </c>
      <c r="AC74" s="8">
        <f>VLOOKUP($E74,'2.จัดสรรหลังSK'!$E$4:$AA$98,23,FALSE)</f>
        <v>21985478.690000001</v>
      </c>
      <c r="AD74" s="8">
        <f>VLOOKUP($E74,'2.จัดสรรหลังSK'!$E$4:$AB$98,24,FALSE)</f>
        <v>20828348.239999998</v>
      </c>
      <c r="AE74" s="8">
        <f t="shared" si="24"/>
        <v>5215082.3</v>
      </c>
      <c r="AF74" s="8">
        <f t="shared" si="25"/>
        <v>6372212.75</v>
      </c>
      <c r="AG74" s="97" t="str">
        <f t="shared" si="26"/>
        <v>ผ่าน</v>
      </c>
      <c r="AH74" s="8">
        <f t="shared" si="34"/>
        <v>21985478.690000001</v>
      </c>
      <c r="AI74" s="98"/>
      <c r="AJ74" s="8">
        <f t="shared" si="27"/>
        <v>27200560.989999998</v>
      </c>
      <c r="AK74" s="98"/>
      <c r="AL74" s="98"/>
      <c r="AM74" s="8">
        <f t="shared" si="28"/>
        <v>0</v>
      </c>
      <c r="AN74" s="8">
        <f t="shared" si="29"/>
        <v>27200560.989999998</v>
      </c>
      <c r="AO74" s="8">
        <f t="shared" si="30"/>
        <v>27200560.989999998</v>
      </c>
    </row>
    <row r="75" spans="1:41" ht="14.25" customHeight="1" outlineLevel="2">
      <c r="A75" s="92">
        <v>554</v>
      </c>
      <c r="B75" s="60" t="s">
        <v>26</v>
      </c>
      <c r="C75" s="60" t="s">
        <v>133</v>
      </c>
      <c r="D75" s="60" t="s">
        <v>134</v>
      </c>
      <c r="E75" s="60" t="s">
        <v>147</v>
      </c>
      <c r="F75" s="60" t="s">
        <v>148</v>
      </c>
      <c r="G75" s="93">
        <v>1.35</v>
      </c>
      <c r="H75" s="71"/>
      <c r="I75" s="65">
        <f t="shared" si="19"/>
        <v>1.35</v>
      </c>
      <c r="J75" s="94">
        <f>VLOOKUP($E75,'2.จัดสรรหลังSK'!$E$4:$H$98,4,FALSE)</f>
        <v>12008</v>
      </c>
      <c r="K75" s="8">
        <f>IF($I$1=1,VLOOKUP($E75,'2.จัดสรรหลังSK'!$E$4:$AA$98,5,FALSE),VLOOKUP($E75,Step!$E$5:$AG$99,23,FALSE))</f>
        <v>1689.5554596935376</v>
      </c>
      <c r="L75" s="8">
        <f>IF($I$1=1,VLOOKUP($E75,'2.จัดสรรหลังSK'!$E$4:$AA$98,6,FALSE),VLOOKUP($E75,Step!$E$5:$AG$99,28,FALSE))</f>
        <v>326.12437958027982</v>
      </c>
      <c r="M75" s="95">
        <v>747.43359999999996</v>
      </c>
      <c r="N75" s="95">
        <v>16.221900000000002</v>
      </c>
      <c r="O75" s="95">
        <v>0</v>
      </c>
      <c r="P75" s="95">
        <v>0</v>
      </c>
      <c r="Q75" s="93">
        <f t="shared" si="20"/>
        <v>7038.3311424701133</v>
      </c>
      <c r="R75" s="93">
        <f>IF($I$1=1,VLOOKUP($E75,'2.จัดสรรหลังSK'!$E$4:$AA$98,12,FALSE),VLOOKUP($E75,Step!$E$5:$AG$99,24,FALSE))</f>
        <v>20288181.960000001</v>
      </c>
      <c r="S75" s="93">
        <f>IF($I$1=1,VLOOKUP($E75,'2.จัดสรรหลังSK'!$E$4:$AA$98,13,FALSE),VLOOKUP($E75,Step!$E$5:$AG$99,29,FALSE))</f>
        <v>3916101.55</v>
      </c>
      <c r="T75" s="65">
        <f>IF($H$111&lt;&gt;0,ROUND(ROUND(M75*I75,4)*Q75,2),VLOOKUP($E75,'2.จัดสรรหลังSK'!$E$4:$R$98,14,FALSE))</f>
        <v>7101925.2800000003</v>
      </c>
      <c r="U75" s="93">
        <f>VLOOKUP($E75,'2.จัดสรรหลังSK'!$E$4:$S$98,15,FALSE)</f>
        <v>155730.23999999999</v>
      </c>
      <c r="V75" s="93">
        <f>VLOOKUP($E75,'2.จัดสรรหลังSK'!$E$4:$T$98,16,FALSE)</f>
        <v>0</v>
      </c>
      <c r="W75" s="93">
        <f>VLOOKUP($E75,'2.จัดสรรหลังSK'!$E$4:$U$98,17,FALSE)</f>
        <v>0</v>
      </c>
      <c r="X75" s="8">
        <f t="shared" si="21"/>
        <v>31461939.030000001</v>
      </c>
      <c r="Y75" s="8">
        <f>VLOOKUP($E75,'2.จัดสรรหลังSK'!$E$4:$W$98,19,FALSE)</f>
        <v>12731420</v>
      </c>
      <c r="Z75" s="93">
        <f t="shared" si="22"/>
        <v>18730519.030000001</v>
      </c>
      <c r="AA75" s="66">
        <v>0</v>
      </c>
      <c r="AB75" s="96">
        <f t="shared" si="23"/>
        <v>18730519.030000001</v>
      </c>
      <c r="AC75" s="8">
        <f>VLOOKUP($E75,'2.จัดสรรหลังSK'!$E$4:$AA$98,23,FALSE)</f>
        <v>13349726.470000001</v>
      </c>
      <c r="AD75" s="8">
        <f>VLOOKUP($E75,'2.จัดสรรหลังSK'!$E$4:$AB$98,24,FALSE)</f>
        <v>12647109.289999999</v>
      </c>
      <c r="AE75" s="8">
        <f t="shared" si="24"/>
        <v>5380792.5599999996</v>
      </c>
      <c r="AF75" s="8">
        <f t="shared" si="25"/>
        <v>6083409.7400000002</v>
      </c>
      <c r="AG75" s="97" t="str">
        <f t="shared" si="26"/>
        <v>ผ่าน</v>
      </c>
      <c r="AH75" s="8">
        <f t="shared" si="34"/>
        <v>13349726.470000001</v>
      </c>
      <c r="AI75" s="98"/>
      <c r="AJ75" s="8">
        <f t="shared" si="27"/>
        <v>18730519.030000001</v>
      </c>
      <c r="AK75" s="98"/>
      <c r="AL75" s="98"/>
      <c r="AM75" s="8">
        <f t="shared" si="28"/>
        <v>0</v>
      </c>
      <c r="AN75" s="8">
        <f t="shared" si="29"/>
        <v>18730519.030000001</v>
      </c>
      <c r="AO75" s="8">
        <f t="shared" si="30"/>
        <v>18730519.030000001</v>
      </c>
    </row>
    <row r="76" spans="1:41" ht="14.25" customHeight="1" outlineLevel="2">
      <c r="A76" s="92">
        <v>555</v>
      </c>
      <c r="B76" s="60" t="s">
        <v>26</v>
      </c>
      <c r="C76" s="60" t="s">
        <v>133</v>
      </c>
      <c r="D76" s="60" t="s">
        <v>134</v>
      </c>
      <c r="E76" s="60" t="s">
        <v>149</v>
      </c>
      <c r="F76" s="60" t="s">
        <v>150</v>
      </c>
      <c r="G76" s="93">
        <v>1.25</v>
      </c>
      <c r="H76" s="71"/>
      <c r="I76" s="65">
        <f t="shared" si="19"/>
        <v>1.25</v>
      </c>
      <c r="J76" s="94">
        <f>VLOOKUP($E76,'2.จัดสรรหลังSK'!$E$4:$H$98,4,FALSE)</f>
        <v>36674</v>
      </c>
      <c r="K76" s="8">
        <f>IF($I$1=1,VLOOKUP($E76,'2.จัดสรรหลังSK'!$E$4:$AA$98,5,FALSE),VLOOKUP($E76,Step!$E$5:$AG$99,23,FALSE))</f>
        <v>1419.7878123466214</v>
      </c>
      <c r="L76" s="8">
        <f>IF($I$1=1,VLOOKUP($E76,'2.จัดสรรหลังSK'!$E$4:$AA$98,6,FALSE),VLOOKUP($E76,Step!$E$5:$AG$99,28,FALSE))</f>
        <v>274.05280934722146</v>
      </c>
      <c r="M76" s="95">
        <v>1199.5108</v>
      </c>
      <c r="N76" s="95">
        <v>26.208500000000001</v>
      </c>
      <c r="O76" s="95">
        <v>0</v>
      </c>
      <c r="P76" s="95">
        <v>0</v>
      </c>
      <c r="Q76" s="93">
        <f t="shared" si="20"/>
        <v>7038.3311424701133</v>
      </c>
      <c r="R76" s="93">
        <f>IF($I$1=1,VLOOKUP($E76,'2.จัดสรรหลังSK'!$E$4:$AA$98,12,FALSE),VLOOKUP($E76,Step!$E$5:$AG$99,24,FALSE))</f>
        <v>52069298.229999997</v>
      </c>
      <c r="S76" s="93">
        <f>IF($I$1=1,VLOOKUP($E76,'2.จัดสรรหลังSK'!$E$4:$AA$98,13,FALSE),VLOOKUP($E76,Step!$E$5:$AG$99,29,FALSE))</f>
        <v>10050612.73</v>
      </c>
      <c r="T76" s="65">
        <f>IF($H$111&lt;&gt;0,ROUND(ROUND(M76*I76,4)*Q76,2),VLOOKUP($E76,'2.จัดสรรหลังSK'!$E$4:$R$98,14,FALSE))</f>
        <v>10553192.77</v>
      </c>
      <c r="U76" s="93">
        <f>VLOOKUP($E76,'2.จัดสรรหลังSK'!$E$4:$S$98,15,FALSE)</f>
        <v>251601.6</v>
      </c>
      <c r="V76" s="93">
        <f>VLOOKUP($E76,'2.จัดสรรหลังSK'!$E$4:$T$98,16,FALSE)</f>
        <v>0</v>
      </c>
      <c r="W76" s="93">
        <f>VLOOKUP($E76,'2.จัดสรรหลังSK'!$E$4:$U$98,17,FALSE)</f>
        <v>0</v>
      </c>
      <c r="X76" s="8">
        <f t="shared" si="21"/>
        <v>72924705.329999983</v>
      </c>
      <c r="Y76" s="8">
        <f>VLOOKUP($E76,'2.จัดสรรหลังSK'!$E$4:$W$98,19,FALSE)</f>
        <v>17544512</v>
      </c>
      <c r="Z76" s="93">
        <f t="shared" si="22"/>
        <v>55380193.329999998</v>
      </c>
      <c r="AA76" s="66">
        <v>0</v>
      </c>
      <c r="AB76" s="96">
        <f t="shared" si="23"/>
        <v>55380193.329999998</v>
      </c>
      <c r="AC76" s="8">
        <f>VLOOKUP($E76,'2.จัดสรรหลังSK'!$E$4:$AA$98,23,FALSE)</f>
        <v>45857934.68</v>
      </c>
      <c r="AD76" s="8">
        <f>VLOOKUP($E76,'2.จัดสรรหลังSK'!$E$4:$AB$98,24,FALSE)</f>
        <v>43444359.170000002</v>
      </c>
      <c r="AE76" s="8">
        <f t="shared" si="24"/>
        <v>9522258.6500000004</v>
      </c>
      <c r="AF76" s="8">
        <f t="shared" si="25"/>
        <v>11935834.16</v>
      </c>
      <c r="AG76" s="97" t="str">
        <f t="shared" si="26"/>
        <v>ผ่าน</v>
      </c>
      <c r="AH76" s="8">
        <f t="shared" si="34"/>
        <v>45857934.68</v>
      </c>
      <c r="AI76" s="98"/>
      <c r="AJ76" s="8">
        <f t="shared" si="27"/>
        <v>55380193.329999998</v>
      </c>
      <c r="AK76" s="98"/>
      <c r="AL76" s="98"/>
      <c r="AM76" s="8">
        <f t="shared" si="28"/>
        <v>0</v>
      </c>
      <c r="AN76" s="8">
        <f t="shared" si="29"/>
        <v>55380193.329999998</v>
      </c>
      <c r="AO76" s="8">
        <f t="shared" si="30"/>
        <v>55380193.329999998</v>
      </c>
    </row>
    <row r="77" spans="1:41" ht="14.25" customHeight="1" outlineLevel="2">
      <c r="A77" s="92">
        <v>556</v>
      </c>
      <c r="B77" s="104" t="s">
        <v>26</v>
      </c>
      <c r="C77" s="60" t="s">
        <v>133</v>
      </c>
      <c r="D77" s="104" t="s">
        <v>134</v>
      </c>
      <c r="E77" s="104" t="s">
        <v>151</v>
      </c>
      <c r="F77" s="104" t="s">
        <v>152</v>
      </c>
      <c r="G77" s="93">
        <v>1.3</v>
      </c>
      <c r="H77" s="106"/>
      <c r="I77" s="65">
        <f t="shared" si="19"/>
        <v>1.3</v>
      </c>
      <c r="J77" s="94">
        <f>VLOOKUP($E77,'2.จัดสรรหลังSK'!$E$4:$H$98,4,FALSE)</f>
        <v>29211</v>
      </c>
      <c r="K77" s="8">
        <f>IF($I$1=1,VLOOKUP($E77,'2.จัดสรรหลังSK'!$E$4:$AA$98,5,FALSE),VLOOKUP($E77,Step!$E$5:$AG$99,23,FALSE))</f>
        <v>1497.5702533292254</v>
      </c>
      <c r="L77" s="8">
        <f>IF($I$1=1,VLOOKUP($E77,'2.จัดสรรหลังSK'!$E$4:$AA$98,6,FALSE),VLOOKUP($E77,Step!$E$5:$AG$99,28,FALSE))</f>
        <v>289.06667009003456</v>
      </c>
      <c r="M77" s="95">
        <v>756.48389999999995</v>
      </c>
      <c r="N77" s="95">
        <v>16.392700000000001</v>
      </c>
      <c r="O77" s="95">
        <v>0</v>
      </c>
      <c r="P77" s="95">
        <v>0</v>
      </c>
      <c r="Q77" s="93">
        <f t="shared" si="20"/>
        <v>7038.3311424701133</v>
      </c>
      <c r="R77" s="93">
        <f>IF($I$1=1,VLOOKUP($E77,'2.จัดสรรหลังSK'!$E$4:$AA$98,12,FALSE),VLOOKUP($E77,Step!$E$5:$AG$99,24,FALSE))</f>
        <v>43745524.670000002</v>
      </c>
      <c r="S77" s="93">
        <f>IF($I$1=1,VLOOKUP($E77,'2.จัดสรรหลังSK'!$E$4:$AA$98,13,FALSE),VLOOKUP($E77,Step!$E$5:$AG$99,29,FALSE))</f>
        <v>8443926.5</v>
      </c>
      <c r="T77" s="65">
        <f>IF($H$111&lt;&gt;0,ROUND(ROUND(M77*I77,4)*Q77,2),VLOOKUP($E77,'2.จัดสรรหลังSK'!$E$4:$R$98,14,FALSE))</f>
        <v>6921699.6600000001</v>
      </c>
      <c r="U77" s="93">
        <f>VLOOKUP($E77,'2.จัดสรรหลังSK'!$E$4:$S$98,15,FALSE)</f>
        <v>157369.92000000001</v>
      </c>
      <c r="V77" s="93">
        <f>VLOOKUP($E77,'2.จัดสรรหลังSK'!$E$4:$T$98,16,FALSE)</f>
        <v>0</v>
      </c>
      <c r="W77" s="93">
        <f>VLOOKUP($E77,'2.จัดสรรหลังSK'!$E$4:$U$98,17,FALSE)</f>
        <v>0</v>
      </c>
      <c r="X77" s="8">
        <f t="shared" si="21"/>
        <v>59268520.75</v>
      </c>
      <c r="Y77" s="8">
        <f>VLOOKUP($E77,'2.จัดสรรหลังSK'!$E$4:$W$98,19,FALSE)</f>
        <v>16453207</v>
      </c>
      <c r="Z77" s="93">
        <f t="shared" si="22"/>
        <v>42815313.75</v>
      </c>
      <c r="AA77" s="66">
        <v>0</v>
      </c>
      <c r="AB77" s="96">
        <f t="shared" si="23"/>
        <v>42815313.75</v>
      </c>
      <c r="AC77" s="8">
        <f>VLOOKUP($E77,'2.จัดสรรหลังSK'!$E$4:$AA$98,23,FALSE)</f>
        <v>30559847.68</v>
      </c>
      <c r="AD77" s="8">
        <f>VLOOKUP($E77,'2.จัดสรรหลังSK'!$E$4:$AB$98,24,FALSE)</f>
        <v>28951434.649999999</v>
      </c>
      <c r="AE77" s="8">
        <f t="shared" si="24"/>
        <v>12255466.07</v>
      </c>
      <c r="AF77" s="8">
        <f t="shared" si="25"/>
        <v>13863879.1</v>
      </c>
      <c r="AG77" s="97" t="str">
        <f t="shared" si="26"/>
        <v>ผ่าน</v>
      </c>
      <c r="AH77" s="8">
        <f t="shared" ref="AH77:AH95" si="37">IF(AND(AB77&gt;AD77,AB77&lt;AC77),AB77,AC77)</f>
        <v>30559847.68</v>
      </c>
      <c r="AI77" s="112"/>
      <c r="AJ77" s="8">
        <f t="shared" si="27"/>
        <v>42815313.75</v>
      </c>
      <c r="AK77" s="112"/>
      <c r="AL77" s="112"/>
      <c r="AM77" s="8">
        <f t="shared" si="28"/>
        <v>0</v>
      </c>
      <c r="AN77" s="8">
        <f t="shared" si="29"/>
        <v>42815313.75</v>
      </c>
      <c r="AO77" s="8">
        <f t="shared" si="30"/>
        <v>42815313.75</v>
      </c>
    </row>
    <row r="78" spans="1:41" ht="14.25" customHeight="1" outlineLevel="1">
      <c r="A78" s="172"/>
      <c r="B78" s="173"/>
      <c r="C78" s="104"/>
      <c r="D78" s="174" t="s">
        <v>267</v>
      </c>
      <c r="E78" s="173"/>
      <c r="F78" s="173"/>
      <c r="G78" s="175"/>
      <c r="H78" s="176"/>
      <c r="I78" s="177"/>
      <c r="J78" s="178">
        <f t="shared" ref="J78:AF78" si="38">SUBTOTAL(9,J69:J77)</f>
        <v>378925</v>
      </c>
      <c r="K78" s="179">
        <f t="shared" si="38"/>
        <v>12874.441535244076</v>
      </c>
      <c r="L78" s="179">
        <f t="shared" si="38"/>
        <v>2485.0733612839067</v>
      </c>
      <c r="M78" s="180">
        <f t="shared" si="38"/>
        <v>50777.899799999992</v>
      </c>
      <c r="N78" s="180">
        <f t="shared" si="38"/>
        <v>1197.6482000000001</v>
      </c>
      <c r="O78" s="180">
        <f t="shared" si="38"/>
        <v>859.52809999999965</v>
      </c>
      <c r="P78" s="180">
        <f t="shared" si="38"/>
        <v>184.54640000000003</v>
      </c>
      <c r="Q78" s="175">
        <f t="shared" si="38"/>
        <v>63344.980282231001</v>
      </c>
      <c r="R78" s="175">
        <f t="shared" si="38"/>
        <v>490463428.64000005</v>
      </c>
      <c r="S78" s="175">
        <f t="shared" si="38"/>
        <v>94671104.590000004</v>
      </c>
      <c r="T78" s="177">
        <f t="shared" si="38"/>
        <v>408474143.07999998</v>
      </c>
      <c r="U78" s="175">
        <f t="shared" si="38"/>
        <v>11497422.720000001</v>
      </c>
      <c r="V78" s="175">
        <f t="shared" si="38"/>
        <v>7735752.9000000004</v>
      </c>
      <c r="W78" s="175">
        <f t="shared" si="38"/>
        <v>2214556.7999999998</v>
      </c>
      <c r="X78" s="179">
        <f t="shared" si="38"/>
        <v>1015056408.73</v>
      </c>
      <c r="Y78" s="179">
        <f t="shared" si="38"/>
        <v>513783500</v>
      </c>
      <c r="Z78" s="175">
        <f t="shared" si="38"/>
        <v>501272908.72999996</v>
      </c>
      <c r="AA78" s="181">
        <f t="shared" si="38"/>
        <v>17557155.949999999</v>
      </c>
      <c r="AB78" s="182">
        <f t="shared" si="38"/>
        <v>518830064.68000001</v>
      </c>
      <c r="AC78" s="179">
        <f t="shared" si="38"/>
        <v>482096939.31000006</v>
      </c>
      <c r="AD78" s="179">
        <f t="shared" si="38"/>
        <v>456723416.19999999</v>
      </c>
      <c r="AE78" s="179">
        <f t="shared" si="38"/>
        <v>36733125.369999997</v>
      </c>
      <c r="AF78" s="179">
        <f t="shared" si="38"/>
        <v>62106648.479999997</v>
      </c>
      <c r="AG78" s="183"/>
      <c r="AH78" s="179">
        <f t="shared" ref="AH78:AO78" si="39">SUBTOTAL(9,AH69:AH77)</f>
        <v>482096939.31000006</v>
      </c>
      <c r="AI78" s="184">
        <f t="shared" si="39"/>
        <v>0</v>
      </c>
      <c r="AJ78" s="179">
        <f t="shared" si="39"/>
        <v>518830064.68000001</v>
      </c>
      <c r="AK78" s="184">
        <f t="shared" si="39"/>
        <v>0</v>
      </c>
      <c r="AL78" s="184">
        <f t="shared" si="39"/>
        <v>0</v>
      </c>
      <c r="AM78" s="179">
        <f t="shared" si="39"/>
        <v>0</v>
      </c>
      <c r="AN78" s="179">
        <f t="shared" si="39"/>
        <v>518830064.68000001</v>
      </c>
      <c r="AO78" s="179">
        <f t="shared" si="39"/>
        <v>518830064.68000001</v>
      </c>
    </row>
    <row r="79" spans="1:41" ht="14.25" customHeight="1" outlineLevel="2">
      <c r="A79" s="157">
        <v>557</v>
      </c>
      <c r="B79" s="104" t="s">
        <v>26</v>
      </c>
      <c r="C79" s="104" t="s">
        <v>153</v>
      </c>
      <c r="D79" s="104" t="s">
        <v>154</v>
      </c>
      <c r="E79" s="104" t="s">
        <v>155</v>
      </c>
      <c r="F79" s="104" t="s">
        <v>156</v>
      </c>
      <c r="G79" s="105">
        <v>1.05</v>
      </c>
      <c r="H79" s="106"/>
      <c r="I79" s="107">
        <f t="shared" si="19"/>
        <v>1.05</v>
      </c>
      <c r="J79" s="158">
        <f>VLOOKUP($E79,'2.จัดสรรหลังSK'!$E$4:$H$98,4,FALSE)</f>
        <v>144189</v>
      </c>
      <c r="K79" s="108">
        <f>IF($I$1=1,VLOOKUP($E79,'2.จัดสรรหลังSK'!$E$4:$AA$98,5,FALSE),VLOOKUP($E79,Step!$E$5:$AG$99,23,FALSE))</f>
        <v>963.68059734098995</v>
      </c>
      <c r="L79" s="108">
        <f>IF($I$1=1,VLOOKUP($E79,'2.จัดสรรหลังSK'!$E$4:$AA$98,6,FALSE),VLOOKUP($E79,Step!$E$5:$AG$99,28,FALSE))</f>
        <v>191.61031958055054</v>
      </c>
      <c r="M79" s="109">
        <v>64935.822200000002</v>
      </c>
      <c r="N79" s="109">
        <v>1697.0589</v>
      </c>
      <c r="O79" s="109">
        <v>2832.3826000000004</v>
      </c>
      <c r="P79" s="109">
        <v>456.93419999999998</v>
      </c>
      <c r="Q79" s="105">
        <f t="shared" si="20"/>
        <v>7038.3311424701133</v>
      </c>
      <c r="R79" s="105">
        <f>IF($I$1=1,VLOOKUP($E79,'2.จัดสรรหลังSK'!$E$4:$AA$98,12,FALSE),VLOOKUP($E79,Step!$E$5:$AG$99,24,FALSE))</f>
        <v>138952141.65000001</v>
      </c>
      <c r="S79" s="105">
        <f>IF($I$1=1,VLOOKUP($E79,'2.จัดสรรหลังSK'!$E$4:$AA$98,13,FALSE),VLOOKUP($E79,Step!$E$5:$AG$99,29,FALSE))</f>
        <v>27628100.370000001</v>
      </c>
      <c r="T79" s="65">
        <f>IF($H$111&lt;&gt;0,ROUND(ROUND(M79*I79,4)*Q79,2),VLOOKUP($E79,'2.จัดสรรหลังSK'!$E$4:$R$98,14,FALSE))</f>
        <v>479891810.44</v>
      </c>
      <c r="U79" s="105">
        <f>VLOOKUP($E79,'2.จัดสรรหลังSK'!$E$4:$S$98,15,FALSE)</f>
        <v>16291765.439999999</v>
      </c>
      <c r="V79" s="105">
        <f>VLOOKUP($E79,'2.จัดสรรหลังSK'!$E$4:$T$98,16,FALSE)</f>
        <v>25491443.399999999</v>
      </c>
      <c r="W79" s="105">
        <f>VLOOKUP($E79,'2.จัดสรรหลังSK'!$E$4:$U$98,17,FALSE)</f>
        <v>5483210.4000000004</v>
      </c>
      <c r="X79" s="108">
        <f t="shared" si="21"/>
        <v>693738471.70000005</v>
      </c>
      <c r="Y79" s="108">
        <f>VLOOKUP($E79,'2.จัดสรรหลังSK'!$E$4:$W$98,19,FALSE)</f>
        <v>354616969</v>
      </c>
      <c r="Z79" s="105">
        <f t="shared" si="22"/>
        <v>339121502.69999999</v>
      </c>
      <c r="AA79" s="110">
        <v>0</v>
      </c>
      <c r="AB79" s="111">
        <f t="shared" si="23"/>
        <v>339121502.69999999</v>
      </c>
      <c r="AC79" s="108">
        <f>VLOOKUP($E79,'2.จัดสรรหลังSK'!$E$4:$AA$98,23,FALSE)</f>
        <v>318658821.37</v>
      </c>
      <c r="AD79" s="108">
        <f>VLOOKUP($E79,'2.จัดสรรหลังSK'!$E$4:$AB$98,24,FALSE)</f>
        <v>301887304.44999999</v>
      </c>
      <c r="AE79" s="108">
        <f t="shared" si="24"/>
        <v>20462681.329999998</v>
      </c>
      <c r="AF79" s="108">
        <f t="shared" si="25"/>
        <v>37234198.25</v>
      </c>
      <c r="AG79" s="159" t="str">
        <f t="shared" si="26"/>
        <v>ผ่าน</v>
      </c>
      <c r="AH79" s="108">
        <f t="shared" si="37"/>
        <v>318658821.37</v>
      </c>
      <c r="AI79" s="112"/>
      <c r="AJ79" s="108">
        <f t="shared" si="27"/>
        <v>339121502.69999999</v>
      </c>
      <c r="AK79" s="112"/>
      <c r="AL79" s="112"/>
      <c r="AM79" s="108">
        <f t="shared" si="28"/>
        <v>0</v>
      </c>
      <c r="AN79" s="108">
        <f t="shared" si="29"/>
        <v>339121502.69999999</v>
      </c>
      <c r="AO79" s="108">
        <f t="shared" si="30"/>
        <v>339121502.69999999</v>
      </c>
    </row>
    <row r="80" spans="1:41" ht="14.25" customHeight="1" outlineLevel="2">
      <c r="A80" s="92">
        <v>558</v>
      </c>
      <c r="B80" s="60" t="s">
        <v>26</v>
      </c>
      <c r="C80" s="60" t="s">
        <v>153</v>
      </c>
      <c r="D80" s="60" t="s">
        <v>154</v>
      </c>
      <c r="E80" s="60" t="s">
        <v>157</v>
      </c>
      <c r="F80" s="60" t="s">
        <v>158</v>
      </c>
      <c r="G80" s="93">
        <v>1.25</v>
      </c>
      <c r="H80" s="71"/>
      <c r="I80" s="65">
        <f t="shared" si="19"/>
        <v>1.25</v>
      </c>
      <c r="J80" s="94">
        <f>VLOOKUP($E80,'2.จัดสรรหลังSK'!$E$4:$H$98,4,FALSE)</f>
        <v>36206</v>
      </c>
      <c r="K80" s="8">
        <f>IF($I$1=1,VLOOKUP($E80,'2.จัดสรรหลังSK'!$E$4:$AA$98,5,FALSE),VLOOKUP($E80,Step!$E$5:$AG$99,23,FALSE))</f>
        <v>1370.5766806606639</v>
      </c>
      <c r="L80" s="8">
        <f>IF($I$1=1,VLOOKUP($E80,'2.จัดสรรหลังSK'!$E$4:$AA$98,6,FALSE),VLOOKUP($E80,Step!$E$5:$AG$99,28,FALSE))</f>
        <v>272.51418825609011</v>
      </c>
      <c r="M80" s="95">
        <v>1801.1591000000001</v>
      </c>
      <c r="N80" s="95">
        <v>37.211599999999997</v>
      </c>
      <c r="O80" s="95">
        <v>0</v>
      </c>
      <c r="P80" s="95">
        <v>0</v>
      </c>
      <c r="Q80" s="93">
        <f t="shared" si="20"/>
        <v>7038.3311424701133</v>
      </c>
      <c r="R80" s="93">
        <f>IF($I$1=1,VLOOKUP($E80,'2.จัดสรรหลังSK'!$E$4:$AA$98,12,FALSE),VLOOKUP($E80,Step!$E$5:$AG$99,24,FALSE))</f>
        <v>49623099.299999997</v>
      </c>
      <c r="S80" s="93">
        <f>IF($I$1=1,VLOOKUP($E80,'2.จัดสรรหลังSK'!$E$4:$AA$98,13,FALSE),VLOOKUP($E80,Step!$E$5:$AG$99,29,FALSE))</f>
        <v>9866648.6999999993</v>
      </c>
      <c r="T80" s="65">
        <f>IF($H$111&lt;&gt;0,ROUND(ROUND(M80*I80,4)*Q80,2),VLOOKUP($E80,'2.จัดสรรหลังSK'!$E$4:$R$98,14,FALSE))</f>
        <v>15846442.9</v>
      </c>
      <c r="U80" s="93">
        <f>VLOOKUP($E80,'2.จัดสรรหลังSK'!$E$4:$S$98,15,FALSE)</f>
        <v>357231.35999999999</v>
      </c>
      <c r="V80" s="93">
        <f>VLOOKUP($E80,'2.จัดสรรหลังSK'!$E$4:$T$98,16,FALSE)</f>
        <v>0</v>
      </c>
      <c r="W80" s="93">
        <f>VLOOKUP($E80,'2.จัดสรรหลังSK'!$E$4:$U$98,17,FALSE)</f>
        <v>0</v>
      </c>
      <c r="X80" s="8">
        <f t="shared" si="21"/>
        <v>75693422.260000005</v>
      </c>
      <c r="Y80" s="8">
        <f>VLOOKUP($E80,'2.จัดสรรหลังSK'!$E$4:$W$98,19,FALSE)</f>
        <v>28883024</v>
      </c>
      <c r="Z80" s="93">
        <f t="shared" si="22"/>
        <v>46810398.259999998</v>
      </c>
      <c r="AA80" s="66">
        <v>0</v>
      </c>
      <c r="AB80" s="96">
        <f t="shared" si="23"/>
        <v>46810398.259999998</v>
      </c>
      <c r="AC80" s="8">
        <f>VLOOKUP($E80,'2.จัดสรรหลังSK'!$E$4:$AA$98,23,FALSE)</f>
        <v>38583787.390000001</v>
      </c>
      <c r="AD80" s="8">
        <f>VLOOKUP($E80,'2.จัดสรรหลังSK'!$E$4:$AB$98,24,FALSE)</f>
        <v>36553061.740000002</v>
      </c>
      <c r="AE80" s="8">
        <f t="shared" si="24"/>
        <v>8226610.8700000001</v>
      </c>
      <c r="AF80" s="8">
        <f t="shared" si="25"/>
        <v>10257336.52</v>
      </c>
      <c r="AG80" s="97" t="str">
        <f t="shared" si="26"/>
        <v>ผ่าน</v>
      </c>
      <c r="AH80" s="8">
        <f t="shared" si="37"/>
        <v>38583787.390000001</v>
      </c>
      <c r="AI80" s="98"/>
      <c r="AJ80" s="8">
        <f t="shared" si="27"/>
        <v>46810398.259999998</v>
      </c>
      <c r="AK80" s="98"/>
      <c r="AL80" s="98"/>
      <c r="AM80" s="8">
        <f t="shared" si="28"/>
        <v>0</v>
      </c>
      <c r="AN80" s="8">
        <f t="shared" si="29"/>
        <v>46810398.259999998</v>
      </c>
      <c r="AO80" s="8">
        <f t="shared" si="30"/>
        <v>46810398.259999998</v>
      </c>
    </row>
    <row r="81" spans="1:41" ht="14.25" customHeight="1" outlineLevel="2">
      <c r="A81" s="92">
        <v>559</v>
      </c>
      <c r="B81" s="60" t="s">
        <v>26</v>
      </c>
      <c r="C81" s="60" t="s">
        <v>153</v>
      </c>
      <c r="D81" s="60" t="s">
        <v>154</v>
      </c>
      <c r="E81" s="60" t="s">
        <v>159</v>
      </c>
      <c r="F81" s="60" t="s">
        <v>160</v>
      </c>
      <c r="G81" s="93">
        <v>1.3</v>
      </c>
      <c r="H81" s="71"/>
      <c r="I81" s="65">
        <f t="shared" si="19"/>
        <v>1.3</v>
      </c>
      <c r="J81" s="94">
        <f>VLOOKUP($E81,'2.จัดสรรหลังSK'!$E$4:$H$98,4,FALSE)</f>
        <v>24217</v>
      </c>
      <c r="K81" s="8">
        <f>IF($I$1=1,VLOOKUP($E81,'2.จัดสรรหลังSK'!$E$4:$AA$98,5,FALSE),VLOOKUP($E81,Step!$E$5:$AG$99,23,FALSE))</f>
        <v>1484.8575645207911</v>
      </c>
      <c r="L81" s="8">
        <f>IF($I$1=1,VLOOKUP($E81,'2.จัดสรรหลังSK'!$E$4:$AA$98,6,FALSE),VLOOKUP($E81,Step!$E$5:$AG$99,28,FALSE))</f>
        <v>295.23685881818557</v>
      </c>
      <c r="M81" s="95">
        <v>1380.0408</v>
      </c>
      <c r="N81" s="95">
        <v>11.3102</v>
      </c>
      <c r="O81" s="95">
        <v>0</v>
      </c>
      <c r="P81" s="95">
        <v>0</v>
      </c>
      <c r="Q81" s="93">
        <f t="shared" si="20"/>
        <v>7038.3311424701133</v>
      </c>
      <c r="R81" s="93">
        <f>IF($I$1=1,VLOOKUP($E81,'2.จัดสรรหลังSK'!$E$4:$AA$98,12,FALSE),VLOOKUP($E81,Step!$E$5:$AG$99,24,FALSE))</f>
        <v>35958795.640000001</v>
      </c>
      <c r="S81" s="93">
        <f>IF($I$1=1,VLOOKUP($E81,'2.จัดสรรหลังSK'!$E$4:$AA$98,13,FALSE),VLOOKUP($E81,Step!$E$5:$AG$99,29,FALSE))</f>
        <v>7149751.0099999998</v>
      </c>
      <c r="T81" s="65">
        <f>IF($H$111&lt;&gt;0,ROUND(ROUND(M81*I81,4)*Q81,2),VLOOKUP($E81,'2.จัดสรรหลังSK'!$E$4:$R$98,14,FALSE))</f>
        <v>12627139.1</v>
      </c>
      <c r="U81" s="93">
        <f>VLOOKUP($E81,'2.จัดสรรหลังSK'!$E$4:$S$98,15,FALSE)</f>
        <v>108577.92</v>
      </c>
      <c r="V81" s="93">
        <f>VLOOKUP($E81,'2.จัดสรรหลังSK'!$E$4:$T$98,16,FALSE)</f>
        <v>0</v>
      </c>
      <c r="W81" s="93">
        <f>VLOOKUP($E81,'2.จัดสรรหลังSK'!$E$4:$U$98,17,FALSE)</f>
        <v>0</v>
      </c>
      <c r="X81" s="8">
        <f t="shared" si="21"/>
        <v>55844263.670000002</v>
      </c>
      <c r="Y81" s="8">
        <f>VLOOKUP($E81,'2.จัดสรรหลังSK'!$E$4:$W$98,19,FALSE)</f>
        <v>26527934</v>
      </c>
      <c r="Z81" s="93">
        <f t="shared" si="22"/>
        <v>29316329.670000002</v>
      </c>
      <c r="AA81" s="66">
        <v>0</v>
      </c>
      <c r="AB81" s="96">
        <f t="shared" si="23"/>
        <v>29316329.670000002</v>
      </c>
      <c r="AC81" s="8">
        <f>VLOOKUP($E81,'2.จัดสรรหลังSK'!$E$4:$AA$98,23,FALSE)</f>
        <v>26222865.710000001</v>
      </c>
      <c r="AD81" s="8">
        <f>VLOOKUP($E81,'2.จัดสรรหลังSK'!$E$4:$AB$98,24,FALSE)</f>
        <v>24842714.890000001</v>
      </c>
      <c r="AE81" s="8">
        <f t="shared" si="24"/>
        <v>3093463.96</v>
      </c>
      <c r="AF81" s="8">
        <f t="shared" si="25"/>
        <v>4473614.78</v>
      </c>
      <c r="AG81" s="97" t="str">
        <f t="shared" si="26"/>
        <v>ผ่าน</v>
      </c>
      <c r="AH81" s="8">
        <f t="shared" si="37"/>
        <v>26222865.710000001</v>
      </c>
      <c r="AI81" s="98"/>
      <c r="AJ81" s="8">
        <f t="shared" si="27"/>
        <v>29316329.670000002</v>
      </c>
      <c r="AK81" s="98"/>
      <c r="AL81" s="98"/>
      <c r="AM81" s="8">
        <f t="shared" si="28"/>
        <v>0</v>
      </c>
      <c r="AN81" s="8">
        <f t="shared" si="29"/>
        <v>29316329.670000002</v>
      </c>
      <c r="AO81" s="8">
        <f t="shared" si="30"/>
        <v>29316329.670000002</v>
      </c>
    </row>
    <row r="82" spans="1:41" ht="14.25" customHeight="1" outlineLevel="2">
      <c r="A82" s="92">
        <v>560</v>
      </c>
      <c r="B82" s="60" t="s">
        <v>26</v>
      </c>
      <c r="C82" s="60" t="s">
        <v>153</v>
      </c>
      <c r="D82" s="60" t="s">
        <v>154</v>
      </c>
      <c r="E82" s="60" t="s">
        <v>161</v>
      </c>
      <c r="F82" s="60" t="s">
        <v>162</v>
      </c>
      <c r="G82" s="93">
        <v>1.1499999999999999</v>
      </c>
      <c r="H82" s="71"/>
      <c r="I82" s="65">
        <f t="shared" si="19"/>
        <v>1.1499999999999999</v>
      </c>
      <c r="J82" s="94">
        <f>VLOOKUP($E82,'2.จัดสรรหลังSK'!$E$4:$H$98,4,FALSE)</f>
        <v>55403</v>
      </c>
      <c r="K82" s="8">
        <f>IF($I$1=1,VLOOKUP($E82,'2.จัดสรรหลังSK'!$E$4:$AA$98,5,FALSE),VLOOKUP($E82,Step!$E$5:$AG$99,23,FALSE))</f>
        <v>1228.1912327852283</v>
      </c>
      <c r="L82" s="8">
        <f>IF($I$1=1,VLOOKUP($E82,'2.จัดสรรหลังSK'!$E$4:$AA$98,6,FALSE),VLOOKUP($E82,Step!$E$5:$AG$99,28,FALSE))</f>
        <v>244.20343753948345</v>
      </c>
      <c r="M82" s="95">
        <v>3467.9058</v>
      </c>
      <c r="N82" s="95">
        <v>60.6571</v>
      </c>
      <c r="O82" s="95">
        <v>0</v>
      </c>
      <c r="P82" s="95">
        <v>0</v>
      </c>
      <c r="Q82" s="93">
        <f t="shared" si="20"/>
        <v>7038.3311424701133</v>
      </c>
      <c r="R82" s="93">
        <f>IF($I$1=1,VLOOKUP($E82,'2.จัดสรรหลังSK'!$E$4:$AA$98,12,FALSE),VLOOKUP($E82,Step!$E$5:$AG$99,24,FALSE))</f>
        <v>68045478.870000005</v>
      </c>
      <c r="S82" s="93">
        <f>IF($I$1=1,VLOOKUP($E82,'2.จัดสรรหลังSK'!$E$4:$AA$98,13,FALSE),VLOOKUP($E82,Step!$E$5:$AG$99,29,FALSE))</f>
        <v>13529603.050000001</v>
      </c>
      <c r="T82" s="65">
        <f>IF($H$111&lt;&gt;0,ROUND(ROUND(M82*I82,4)*Q82,2),VLOOKUP($E82,'2.จัดสรรหลังSK'!$E$4:$R$98,14,FALSE))</f>
        <v>28069510</v>
      </c>
      <c r="U82" s="93">
        <f>VLOOKUP($E82,'2.จัดสรรหลังSK'!$E$4:$S$98,15,FALSE)</f>
        <v>582308.16</v>
      </c>
      <c r="V82" s="93">
        <f>VLOOKUP($E82,'2.จัดสรรหลังSK'!$E$4:$T$98,16,FALSE)</f>
        <v>0</v>
      </c>
      <c r="W82" s="93">
        <f>VLOOKUP($E82,'2.จัดสรรหลังSK'!$E$4:$U$98,17,FALSE)</f>
        <v>0</v>
      </c>
      <c r="X82" s="8">
        <f t="shared" si="21"/>
        <v>110226900.08</v>
      </c>
      <c r="Y82" s="8">
        <f>VLOOKUP($E82,'2.จัดสรรหลังSK'!$E$4:$W$98,19,FALSE)</f>
        <v>59145686</v>
      </c>
      <c r="Z82" s="93">
        <f t="shared" si="22"/>
        <v>51081214.079999998</v>
      </c>
      <c r="AA82" s="66">
        <v>0</v>
      </c>
      <c r="AB82" s="96">
        <f t="shared" si="23"/>
        <v>51081214.079999998</v>
      </c>
      <c r="AC82" s="8">
        <f>VLOOKUP($E82,'2.จัดสรรหลังSK'!$E$4:$AA$98,23,FALSE)</f>
        <v>46557767.060000002</v>
      </c>
      <c r="AD82" s="8">
        <f>VLOOKUP($E82,'2.จัดสรรหลังSK'!$E$4:$AB$98,24,FALSE)</f>
        <v>44107358.270000003</v>
      </c>
      <c r="AE82" s="8">
        <f t="shared" si="24"/>
        <v>4523447.0199999996</v>
      </c>
      <c r="AF82" s="8">
        <f t="shared" si="25"/>
        <v>6973855.8099999996</v>
      </c>
      <c r="AG82" s="97" t="str">
        <f t="shared" si="26"/>
        <v>ผ่าน</v>
      </c>
      <c r="AH82" s="8">
        <f t="shared" si="37"/>
        <v>46557767.060000002</v>
      </c>
      <c r="AI82" s="98"/>
      <c r="AJ82" s="8">
        <f t="shared" si="27"/>
        <v>51081214.079999998</v>
      </c>
      <c r="AK82" s="98"/>
      <c r="AL82" s="98"/>
      <c r="AM82" s="8">
        <f t="shared" si="28"/>
        <v>0</v>
      </c>
      <c r="AN82" s="8">
        <f t="shared" si="29"/>
        <v>51081214.079999998</v>
      </c>
      <c r="AO82" s="8">
        <f t="shared" si="30"/>
        <v>51081214.079999998</v>
      </c>
    </row>
    <row r="83" spans="1:41" ht="14.25" customHeight="1" outlineLevel="2">
      <c r="A83" s="92">
        <v>561</v>
      </c>
      <c r="B83" s="60" t="s">
        <v>26</v>
      </c>
      <c r="C83" s="60" t="s">
        <v>153</v>
      </c>
      <c r="D83" s="60" t="s">
        <v>154</v>
      </c>
      <c r="E83" s="60" t="s">
        <v>163</v>
      </c>
      <c r="F83" s="60" t="s">
        <v>164</v>
      </c>
      <c r="G83" s="93">
        <v>1.1499999999999999</v>
      </c>
      <c r="H83" s="71"/>
      <c r="I83" s="65">
        <f t="shared" si="19"/>
        <v>1.1499999999999999</v>
      </c>
      <c r="J83" s="94">
        <f>VLOOKUP($E83,'2.จัดสรรหลังSK'!$E$4:$H$98,4,FALSE)</f>
        <v>39258</v>
      </c>
      <c r="K83" s="8">
        <f>IF($I$1=1,VLOOKUP($E83,'2.จัดสรรหลังSK'!$E$4:$AA$98,5,FALSE),VLOOKUP($E83,Step!$E$5:$AG$99,23,FALSE))</f>
        <v>1346.0374667583676</v>
      </c>
      <c r="L83" s="8">
        <f>IF($I$1=1,VLOOKUP($E83,'2.จัดสรรหลังSK'!$E$4:$AA$98,6,FALSE),VLOOKUP($E83,Step!$E$5:$AG$99,28,FALSE))</f>
        <v>267.63501299098272</v>
      </c>
      <c r="M83" s="95">
        <v>3996.7566000000002</v>
      </c>
      <c r="N83" s="95">
        <v>116.1169</v>
      </c>
      <c r="O83" s="95">
        <v>0</v>
      </c>
      <c r="P83" s="95">
        <v>0</v>
      </c>
      <c r="Q83" s="93">
        <f t="shared" si="20"/>
        <v>7038.3311424701133</v>
      </c>
      <c r="R83" s="93">
        <f>IF($I$1=1,VLOOKUP($E83,'2.จัดสรรหลังSK'!$E$4:$AA$98,12,FALSE),VLOOKUP($E83,Step!$E$5:$AG$99,24,FALSE))</f>
        <v>52842738.869999997</v>
      </c>
      <c r="S83" s="93">
        <f>IF($I$1=1,VLOOKUP($E83,'2.จัดสรรหลังSK'!$E$4:$AA$98,13,FALSE),VLOOKUP($E83,Step!$E$5:$AG$99,29,FALSE))</f>
        <v>10506815.34</v>
      </c>
      <c r="T83" s="65">
        <f>IF($H$111&lt;&gt;0,ROUND(ROUND(M83*I83,4)*Q83,2),VLOOKUP($E83,'2.จัดสรรหลังSK'!$E$4:$R$98,14,FALSE))</f>
        <v>32350070.98</v>
      </c>
      <c r="U83" s="93">
        <f>VLOOKUP($E83,'2.จัดสรรหลังSK'!$E$4:$S$98,15,FALSE)</f>
        <v>1114722.24</v>
      </c>
      <c r="V83" s="93">
        <f>VLOOKUP($E83,'2.จัดสรรหลังSK'!$E$4:$T$98,16,FALSE)</f>
        <v>0</v>
      </c>
      <c r="W83" s="93">
        <f>VLOOKUP($E83,'2.จัดสรรหลังSK'!$E$4:$U$98,17,FALSE)</f>
        <v>0</v>
      </c>
      <c r="X83" s="8">
        <f t="shared" si="21"/>
        <v>96814347.429999992</v>
      </c>
      <c r="Y83" s="8">
        <f>VLOOKUP($E83,'2.จัดสรรหลังSK'!$E$4:$W$98,19,FALSE)</f>
        <v>51742773</v>
      </c>
      <c r="Z83" s="93">
        <f t="shared" si="22"/>
        <v>45071574.43</v>
      </c>
      <c r="AA83" s="66">
        <v>0</v>
      </c>
      <c r="AB83" s="96">
        <f t="shared" si="23"/>
        <v>45071574.43</v>
      </c>
      <c r="AC83" s="8">
        <f>VLOOKUP($E83,'2.จัดสรรหลังSK'!$E$4:$AA$98,23,FALSE)</f>
        <v>37817459.689999998</v>
      </c>
      <c r="AD83" s="8">
        <f>VLOOKUP($E83,'2.จัดสรรหลังSK'!$E$4:$AB$98,24,FALSE)</f>
        <v>35827067.07</v>
      </c>
      <c r="AE83" s="8">
        <f t="shared" si="24"/>
        <v>7254114.7400000002</v>
      </c>
      <c r="AF83" s="8">
        <f t="shared" si="25"/>
        <v>9244507.3599999994</v>
      </c>
      <c r="AG83" s="97" t="str">
        <f t="shared" si="26"/>
        <v>ผ่าน</v>
      </c>
      <c r="AH83" s="8">
        <f t="shared" si="37"/>
        <v>37817459.689999998</v>
      </c>
      <c r="AI83" s="98"/>
      <c r="AJ83" s="8">
        <f t="shared" si="27"/>
        <v>45071574.43</v>
      </c>
      <c r="AK83" s="98"/>
      <c r="AL83" s="98"/>
      <c r="AM83" s="8">
        <f t="shared" si="28"/>
        <v>0</v>
      </c>
      <c r="AN83" s="8">
        <f t="shared" si="29"/>
        <v>45071574.43</v>
      </c>
      <c r="AO83" s="8">
        <f t="shared" si="30"/>
        <v>45071574.43</v>
      </c>
    </row>
    <row r="84" spans="1:41" ht="14.25" customHeight="1" outlineLevel="2">
      <c r="A84" s="92">
        <v>562</v>
      </c>
      <c r="B84" s="60" t="s">
        <v>26</v>
      </c>
      <c r="C84" s="60" t="s">
        <v>153</v>
      </c>
      <c r="D84" s="60" t="s">
        <v>154</v>
      </c>
      <c r="E84" s="60" t="s">
        <v>165</v>
      </c>
      <c r="F84" s="60" t="s">
        <v>166</v>
      </c>
      <c r="G84" s="93">
        <v>1.25</v>
      </c>
      <c r="H84" s="71"/>
      <c r="I84" s="65">
        <f t="shared" si="19"/>
        <v>1.25</v>
      </c>
      <c r="J84" s="94">
        <f>VLOOKUP($E84,'2.จัดสรรหลังSK'!$E$4:$H$98,4,FALSE)</f>
        <v>37876</v>
      </c>
      <c r="K84" s="8">
        <f>IF($I$1=1,VLOOKUP($E84,'2.จัดสรรหลังSK'!$E$4:$AA$98,5,FALSE),VLOOKUP($E84,Step!$E$5:$AG$99,23,FALSE))</f>
        <v>1356.6593272784876</v>
      </c>
      <c r="L84" s="8">
        <f>IF($I$1=1,VLOOKUP($E84,'2.จัดสรรหลังSK'!$E$4:$AA$98,6,FALSE),VLOOKUP($E84,Step!$E$5:$AG$99,28,FALSE))</f>
        <v>269.74697618544729</v>
      </c>
      <c r="M84" s="95">
        <v>1312.8268</v>
      </c>
      <c r="N84" s="95">
        <v>20.333600000000001</v>
      </c>
      <c r="O84" s="95">
        <v>0</v>
      </c>
      <c r="P84" s="95">
        <v>0</v>
      </c>
      <c r="Q84" s="93">
        <f t="shared" si="20"/>
        <v>7038.3311424701133</v>
      </c>
      <c r="R84" s="93">
        <f>IF($I$1=1,VLOOKUP($E84,'2.จัดสรรหลังSK'!$E$4:$AA$98,12,FALSE),VLOOKUP($E84,Step!$E$5:$AG$99,24,FALSE))</f>
        <v>51384828.68</v>
      </c>
      <c r="S84" s="93">
        <f>IF($I$1=1,VLOOKUP($E84,'2.จัดสรรหลังSK'!$E$4:$AA$98,13,FALSE),VLOOKUP($E84,Step!$E$5:$AG$99,29,FALSE))</f>
        <v>10216936.470000001</v>
      </c>
      <c r="T84" s="65">
        <f>IF($H$111&lt;&gt;0,ROUND(ROUND(M84*I84,4)*Q84,2),VLOOKUP($E84,'2.จัดสรรหลังSK'!$E$4:$R$98,14,FALSE))</f>
        <v>11550137.189999999</v>
      </c>
      <c r="U84" s="93">
        <f>VLOOKUP($E84,'2.จัดสรรหลังSK'!$E$4:$S$98,15,FALSE)</f>
        <v>195202.56</v>
      </c>
      <c r="V84" s="93">
        <f>VLOOKUP($E84,'2.จัดสรรหลังSK'!$E$4:$T$98,16,FALSE)</f>
        <v>0</v>
      </c>
      <c r="W84" s="93">
        <f>VLOOKUP($E84,'2.จัดสรรหลังSK'!$E$4:$U$98,17,FALSE)</f>
        <v>0</v>
      </c>
      <c r="X84" s="8">
        <f t="shared" si="21"/>
        <v>73347104.900000006</v>
      </c>
      <c r="Y84" s="8">
        <f>VLOOKUP($E84,'2.จัดสรรหลังSK'!$E$4:$W$98,19,FALSE)</f>
        <v>32460579</v>
      </c>
      <c r="Z84" s="93">
        <f t="shared" si="22"/>
        <v>40886525.899999999</v>
      </c>
      <c r="AA84" s="66">
        <v>0</v>
      </c>
      <c r="AB84" s="96">
        <f t="shared" si="23"/>
        <v>40886525.899999999</v>
      </c>
      <c r="AC84" s="8">
        <f>VLOOKUP($E84,'2.จัดสรรหลังSK'!$E$4:$AA$98,23,FALSE)</f>
        <v>34441540.689999998</v>
      </c>
      <c r="AD84" s="8">
        <f>VLOOKUP($E84,'2.จัดสรรหลังSK'!$E$4:$AB$98,24,FALSE)</f>
        <v>32628828.02</v>
      </c>
      <c r="AE84" s="8">
        <f t="shared" si="24"/>
        <v>6444985.21</v>
      </c>
      <c r="AF84" s="8">
        <f t="shared" si="25"/>
        <v>8257697.8799999999</v>
      </c>
      <c r="AG84" s="97" t="str">
        <f t="shared" si="26"/>
        <v>ผ่าน</v>
      </c>
      <c r="AH84" s="8">
        <f t="shared" si="37"/>
        <v>34441540.689999998</v>
      </c>
      <c r="AI84" s="98"/>
      <c r="AJ84" s="8">
        <f t="shared" si="27"/>
        <v>40886525.899999999</v>
      </c>
      <c r="AK84" s="98"/>
      <c r="AL84" s="98"/>
      <c r="AM84" s="8">
        <f t="shared" si="28"/>
        <v>0</v>
      </c>
      <c r="AN84" s="8">
        <f t="shared" si="29"/>
        <v>40886525.899999999</v>
      </c>
      <c r="AO84" s="8">
        <f t="shared" si="30"/>
        <v>40886525.899999999</v>
      </c>
    </row>
    <row r="85" spans="1:41" ht="14.25" customHeight="1" outlineLevel="2">
      <c r="A85" s="92">
        <v>563</v>
      </c>
      <c r="B85" s="60" t="s">
        <v>26</v>
      </c>
      <c r="C85" s="60" t="s">
        <v>153</v>
      </c>
      <c r="D85" s="60" t="s">
        <v>154</v>
      </c>
      <c r="E85" s="60" t="s">
        <v>167</v>
      </c>
      <c r="F85" s="60" t="s">
        <v>168</v>
      </c>
      <c r="G85" s="93">
        <v>1.35</v>
      </c>
      <c r="H85" s="71"/>
      <c r="I85" s="65">
        <f t="shared" si="19"/>
        <v>1.35</v>
      </c>
      <c r="J85" s="94">
        <f>VLOOKUP($E85,'2.จัดสรรหลังSK'!$E$4:$H$98,4,FALSE)</f>
        <v>10823</v>
      </c>
      <c r="K85" s="8">
        <f>IF($I$1=1,VLOOKUP($E85,'2.จัดสรรหลังSK'!$E$4:$AA$98,5,FALSE),VLOOKUP($E85,Step!$E$5:$AG$99,23,FALSE))</f>
        <v>1650.2476697773261</v>
      </c>
      <c r="L85" s="8">
        <f>IF($I$1=1,VLOOKUP($E85,'2.จัดสรรหลังSK'!$E$4:$AA$98,6,FALSE),VLOOKUP($E85,Step!$E$5:$AG$99,28,FALSE))</f>
        <v>328.1216668206597</v>
      </c>
      <c r="M85" s="95">
        <v>416.00130000000001</v>
      </c>
      <c r="N85" s="95">
        <v>6.5098000000000003</v>
      </c>
      <c r="O85" s="95">
        <v>0</v>
      </c>
      <c r="P85" s="95">
        <v>0</v>
      </c>
      <c r="Q85" s="93">
        <f t="shared" si="20"/>
        <v>7038.3311424701133</v>
      </c>
      <c r="R85" s="93">
        <f>IF($I$1=1,VLOOKUP($E85,'2.จัดสรรหลังSK'!$E$4:$AA$98,12,FALSE),VLOOKUP($E85,Step!$E$5:$AG$99,24,FALSE))</f>
        <v>17860630.530000001</v>
      </c>
      <c r="S85" s="93">
        <f>IF($I$1=1,VLOOKUP($E85,'2.จัดสรรหลังSK'!$E$4:$AA$98,13,FALSE),VLOOKUP($E85,Step!$E$5:$AG$99,29,FALSE))</f>
        <v>3551260.8</v>
      </c>
      <c r="T85" s="65">
        <f>IF($H$111&lt;&gt;0,ROUND(ROUND(M85*I85,4)*Q85,2),VLOOKUP($E85,'2.จัดสรรหลังSK'!$E$4:$R$98,14,FALSE))</f>
        <v>3952739.44</v>
      </c>
      <c r="U85" s="93">
        <f>VLOOKUP($E85,'2.จัดสรรหลังSK'!$E$4:$S$98,15,FALSE)</f>
        <v>62494.080000000002</v>
      </c>
      <c r="V85" s="93">
        <f>VLOOKUP($E85,'2.จัดสรรหลังSK'!$E$4:$T$98,16,FALSE)</f>
        <v>0</v>
      </c>
      <c r="W85" s="93">
        <f>VLOOKUP($E85,'2.จัดสรรหลังSK'!$E$4:$U$98,17,FALSE)</f>
        <v>0</v>
      </c>
      <c r="X85" s="8">
        <f t="shared" si="21"/>
        <v>25427124.850000001</v>
      </c>
      <c r="Y85" s="8">
        <f>VLOOKUP($E85,'2.จัดสรรหลังSK'!$E$4:$W$98,19,FALSE)</f>
        <v>15663319</v>
      </c>
      <c r="Z85" s="93">
        <f t="shared" si="22"/>
        <v>9763805.8499999996</v>
      </c>
      <c r="AA85" s="66">
        <v>3325347.97</v>
      </c>
      <c r="AB85" s="96">
        <f t="shared" si="23"/>
        <v>13089153.82</v>
      </c>
      <c r="AC85" s="8">
        <f>VLOOKUP($E85,'2.จัดสรรหลังSK'!$E$4:$AA$98,23,FALSE)</f>
        <v>13089153.82</v>
      </c>
      <c r="AD85" s="8">
        <f>VLOOKUP($E85,'2.จัดสรรหลังSK'!$E$4:$AB$98,24,FALSE)</f>
        <v>12400250.99</v>
      </c>
      <c r="AE85" s="8">
        <f t="shared" si="24"/>
        <v>0</v>
      </c>
      <c r="AF85" s="8">
        <f t="shared" si="25"/>
        <v>688902.83</v>
      </c>
      <c r="AG85" s="97" t="str">
        <f t="shared" si="26"/>
        <v>ผ่าน</v>
      </c>
      <c r="AH85" s="8">
        <f t="shared" si="37"/>
        <v>13089153.82</v>
      </c>
      <c r="AI85" s="98"/>
      <c r="AJ85" s="8">
        <f t="shared" si="27"/>
        <v>13089153.82</v>
      </c>
      <c r="AK85" s="98"/>
      <c r="AL85" s="98"/>
      <c r="AM85" s="8">
        <f t="shared" si="28"/>
        <v>0</v>
      </c>
      <c r="AN85" s="8">
        <f t="shared" si="29"/>
        <v>13089153.82</v>
      </c>
      <c r="AO85" s="8">
        <f t="shared" si="30"/>
        <v>13089153.82</v>
      </c>
    </row>
    <row r="86" spans="1:41" ht="14.25" customHeight="1" outlineLevel="2">
      <c r="A86" s="92">
        <v>564</v>
      </c>
      <c r="B86" s="60" t="s">
        <v>26</v>
      </c>
      <c r="C86" s="60" t="s">
        <v>153</v>
      </c>
      <c r="D86" s="60" t="s">
        <v>154</v>
      </c>
      <c r="E86" s="60" t="s">
        <v>169</v>
      </c>
      <c r="F86" s="60" t="s">
        <v>170</v>
      </c>
      <c r="G86" s="93">
        <v>1.1499999999999999</v>
      </c>
      <c r="H86" s="71"/>
      <c r="I86" s="65">
        <f t="shared" si="19"/>
        <v>1.1499999999999999</v>
      </c>
      <c r="J86" s="94">
        <f>VLOOKUP($E86,'2.จัดสรรหลังSK'!$E$4:$H$98,4,FALSE)</f>
        <v>93034</v>
      </c>
      <c r="K86" s="8">
        <f>IF($I$1=1,VLOOKUP($E86,'2.จัดสรรหลังSK'!$E$4:$AA$98,5,FALSE),VLOOKUP($E86,Step!$E$5:$AG$99,23,FALSE))</f>
        <v>1069.9502783928456</v>
      </c>
      <c r="L86" s="8">
        <f>IF($I$1=1,VLOOKUP($E86,'2.จัดสรรหลังSK'!$E$4:$AA$98,6,FALSE),VLOOKUP($E86,Step!$E$5:$AG$99,28,FALSE))</f>
        <v>212.74010845497344</v>
      </c>
      <c r="M86" s="95">
        <v>10181.222100000001</v>
      </c>
      <c r="N86" s="95">
        <v>190.64879999999999</v>
      </c>
      <c r="O86" s="95">
        <v>236.45719999999997</v>
      </c>
      <c r="P86" s="95">
        <v>0</v>
      </c>
      <c r="Q86" s="93">
        <f t="shared" si="20"/>
        <v>7038.3311424701133</v>
      </c>
      <c r="R86" s="93">
        <f>IF($I$1=1,VLOOKUP($E86,'2.จัดสรรหลังSK'!$E$4:$AA$98,12,FALSE),VLOOKUP($E86,Step!$E$5:$AG$99,24,FALSE))</f>
        <v>99541754.200000003</v>
      </c>
      <c r="S86" s="93">
        <f>IF($I$1=1,VLOOKUP($E86,'2.จัดสรรหลังSK'!$E$4:$AA$98,13,FALSE),VLOOKUP($E86,Step!$E$5:$AG$99,29,FALSE))</f>
        <v>19792063.25</v>
      </c>
      <c r="T86" s="65">
        <f>IF($H$111&lt;&gt;0,ROUND(ROUND(M86*I86,4)*Q86,2),VLOOKUP($E86,'2.จัดสรรหลังSK'!$E$4:$R$98,14,FALSE))</f>
        <v>82407634.329999998</v>
      </c>
      <c r="U86" s="93">
        <f>VLOOKUP($E86,'2.จัดสรรหลังSK'!$E$4:$S$98,15,FALSE)</f>
        <v>1830228.48</v>
      </c>
      <c r="V86" s="93">
        <f>VLOOKUP($E86,'2.จัดสรรหลังSK'!$E$4:$T$98,16,FALSE)</f>
        <v>2128114.7999999998</v>
      </c>
      <c r="W86" s="93">
        <f>VLOOKUP($E86,'2.จัดสรรหลังSK'!$E$4:$U$98,17,FALSE)</f>
        <v>0</v>
      </c>
      <c r="X86" s="8">
        <f t="shared" si="21"/>
        <v>205699795.06</v>
      </c>
      <c r="Y86" s="8">
        <f>VLOOKUP($E86,'2.จัดสรรหลังSK'!$E$4:$W$98,19,FALSE)</f>
        <v>80744719</v>
      </c>
      <c r="Z86" s="93">
        <f t="shared" si="22"/>
        <v>124955076.06</v>
      </c>
      <c r="AA86" s="66">
        <v>0</v>
      </c>
      <c r="AB86" s="96">
        <f t="shared" si="23"/>
        <v>124955076.06</v>
      </c>
      <c r="AC86" s="8">
        <f>VLOOKUP($E86,'2.จัดสรรหลังSK'!$E$4:$AA$98,23,FALSE)</f>
        <v>111290828.27</v>
      </c>
      <c r="AD86" s="8">
        <f>VLOOKUP($E86,'2.จัดสรรหลังSK'!$E$4:$AB$98,24,FALSE)</f>
        <v>105433416.25</v>
      </c>
      <c r="AE86" s="8">
        <f t="shared" si="24"/>
        <v>13664247.789999999</v>
      </c>
      <c r="AF86" s="8">
        <f t="shared" si="25"/>
        <v>19521659.809999999</v>
      </c>
      <c r="AG86" s="97" t="str">
        <f t="shared" si="26"/>
        <v>ผ่าน</v>
      </c>
      <c r="AH86" s="8">
        <f t="shared" si="37"/>
        <v>111290828.27</v>
      </c>
      <c r="AI86" s="98"/>
      <c r="AJ86" s="8">
        <f t="shared" si="27"/>
        <v>124955076.06</v>
      </c>
      <c r="AK86" s="98"/>
      <c r="AL86" s="98"/>
      <c r="AM86" s="8">
        <f t="shared" si="28"/>
        <v>0</v>
      </c>
      <c r="AN86" s="8">
        <f t="shared" si="29"/>
        <v>124955076.06</v>
      </c>
      <c r="AO86" s="8">
        <f t="shared" si="30"/>
        <v>124955076.06</v>
      </c>
    </row>
    <row r="87" spans="1:41" ht="14.25" customHeight="1" outlineLevel="2">
      <c r="A87" s="92">
        <v>565</v>
      </c>
      <c r="B87" s="60" t="s">
        <v>26</v>
      </c>
      <c r="C87" s="60" t="s">
        <v>153</v>
      </c>
      <c r="D87" s="60" t="s">
        <v>154</v>
      </c>
      <c r="E87" s="60" t="s">
        <v>171</v>
      </c>
      <c r="F87" s="60" t="s">
        <v>172</v>
      </c>
      <c r="G87" s="93">
        <v>1.25</v>
      </c>
      <c r="H87" s="71"/>
      <c r="I87" s="65">
        <f t="shared" si="19"/>
        <v>1.25</v>
      </c>
      <c r="J87" s="94">
        <f>VLOOKUP($E87,'2.จัดสรรหลังSK'!$E$4:$H$98,4,FALSE)</f>
        <v>30839</v>
      </c>
      <c r="K87" s="8">
        <f>IF($I$1=1,VLOOKUP($E87,'2.จัดสรรหลังSK'!$E$4:$AA$98,5,FALSE),VLOOKUP($E87,Step!$E$5:$AG$99,23,FALSE))</f>
        <v>1425.5099688705859</v>
      </c>
      <c r="L87" s="8">
        <f>IF($I$1=1,VLOOKUP($E87,'2.จัดสรรหลังSK'!$E$4:$AA$98,6,FALSE),VLOOKUP($E87,Step!$E$5:$AG$99,28,FALSE))</f>
        <v>283.43667142254935</v>
      </c>
      <c r="M87" s="95">
        <v>1576.0279</v>
      </c>
      <c r="N87" s="95">
        <v>31.1203</v>
      </c>
      <c r="O87" s="95">
        <v>0</v>
      </c>
      <c r="P87" s="95">
        <v>0</v>
      </c>
      <c r="Q87" s="93">
        <f t="shared" si="20"/>
        <v>7038.3311424701133</v>
      </c>
      <c r="R87" s="93">
        <f>IF($I$1=1,VLOOKUP($E87,'2.จัดสรรหลังSK'!$E$4:$AA$98,12,FALSE),VLOOKUP($E87,Step!$E$5:$AG$99,24,FALSE))</f>
        <v>43961301.93</v>
      </c>
      <c r="S87" s="93">
        <f>IF($I$1=1,VLOOKUP($E87,'2.จัดสรรหลังSK'!$E$4:$AA$98,13,FALSE),VLOOKUP($E87,Step!$E$5:$AG$99,29,FALSE))</f>
        <v>8740903.5099999998</v>
      </c>
      <c r="T87" s="65">
        <f>IF($H$111&lt;&gt;0,ROUND(ROUND(M87*I87,4)*Q87,2),VLOOKUP($E87,'2.จัดสรรหลังSK'!$E$4:$R$98,14,FALSE))</f>
        <v>13865757.98</v>
      </c>
      <c r="U87" s="93">
        <f>VLOOKUP($E87,'2.จัดสรรหลังSK'!$E$4:$S$98,15,FALSE)</f>
        <v>298754.88</v>
      </c>
      <c r="V87" s="93">
        <f>VLOOKUP($E87,'2.จัดสรรหลังSK'!$E$4:$T$98,16,FALSE)</f>
        <v>0</v>
      </c>
      <c r="W87" s="93">
        <f>VLOOKUP($E87,'2.จัดสรรหลังSK'!$E$4:$U$98,17,FALSE)</f>
        <v>0</v>
      </c>
      <c r="X87" s="8">
        <f t="shared" si="21"/>
        <v>66866718.300000004</v>
      </c>
      <c r="Y87" s="8">
        <f>VLOOKUP($E87,'2.จัดสรรหลังSK'!$E$4:$W$98,19,FALSE)</f>
        <v>27970957</v>
      </c>
      <c r="Z87" s="93">
        <f t="shared" si="22"/>
        <v>38895761.299999997</v>
      </c>
      <c r="AA87" s="66">
        <v>0</v>
      </c>
      <c r="AB87" s="96">
        <f t="shared" si="23"/>
        <v>38895761.299999997</v>
      </c>
      <c r="AC87" s="8">
        <f>VLOOKUP($E87,'2.จัดสรรหลังSK'!$E$4:$AA$98,23,FALSE)</f>
        <v>33654504.509999998</v>
      </c>
      <c r="AD87" s="8">
        <f>VLOOKUP($E87,'2.จัดสรรหลังSK'!$E$4:$AB$98,24,FALSE)</f>
        <v>31883214.800000001</v>
      </c>
      <c r="AE87" s="8">
        <f t="shared" si="24"/>
        <v>5241256.79</v>
      </c>
      <c r="AF87" s="8">
        <f t="shared" si="25"/>
        <v>7012546.5</v>
      </c>
      <c r="AG87" s="97" t="str">
        <f t="shared" si="26"/>
        <v>ผ่าน</v>
      </c>
      <c r="AH87" s="8">
        <f t="shared" si="37"/>
        <v>33654504.509999998</v>
      </c>
      <c r="AI87" s="98"/>
      <c r="AJ87" s="8">
        <f t="shared" si="27"/>
        <v>38895761.299999997</v>
      </c>
      <c r="AK87" s="98"/>
      <c r="AL87" s="98"/>
      <c r="AM87" s="8">
        <f t="shared" si="28"/>
        <v>0</v>
      </c>
      <c r="AN87" s="8">
        <f t="shared" si="29"/>
        <v>38895761.299999997</v>
      </c>
      <c r="AO87" s="8">
        <f t="shared" si="30"/>
        <v>38895761.299999997</v>
      </c>
    </row>
    <row r="88" spans="1:41" ht="14.25" customHeight="1" outlineLevel="2">
      <c r="A88" s="92">
        <v>566</v>
      </c>
      <c r="B88" s="60" t="s">
        <v>26</v>
      </c>
      <c r="C88" s="60" t="s">
        <v>153</v>
      </c>
      <c r="D88" s="60" t="s">
        <v>154</v>
      </c>
      <c r="E88" s="60" t="s">
        <v>173</v>
      </c>
      <c r="F88" s="60" t="s">
        <v>174</v>
      </c>
      <c r="G88" s="93">
        <v>1.1499999999999999</v>
      </c>
      <c r="H88" s="71"/>
      <c r="I88" s="65">
        <f t="shared" si="19"/>
        <v>1.1499999999999999</v>
      </c>
      <c r="J88" s="94">
        <f>VLOOKUP($E88,'2.จัดสรรหลังSK'!$E$4:$H$98,4,FALSE)</f>
        <v>53083</v>
      </c>
      <c r="K88" s="8">
        <f>IF($I$1=1,VLOOKUP($E88,'2.จัดสรรหลังSK'!$E$4:$AA$98,5,FALSE),VLOOKUP($E88,Step!$E$5:$AG$99,23,FALSE))</f>
        <v>1243.4480311964282</v>
      </c>
      <c r="L88" s="8">
        <f>IF($I$1=1,VLOOKUP($E88,'2.จัดสรรหลังSK'!$E$4:$AA$98,6,FALSE),VLOOKUP($E88,Step!$E$5:$AG$99,28,FALSE))</f>
        <v>247.23697379575381</v>
      </c>
      <c r="M88" s="95">
        <v>2978.4609</v>
      </c>
      <c r="N88" s="95">
        <v>78.653800000000004</v>
      </c>
      <c r="O88" s="95">
        <v>0</v>
      </c>
      <c r="P88" s="95">
        <v>0</v>
      </c>
      <c r="Q88" s="93">
        <f t="shared" si="20"/>
        <v>7038.3311424701133</v>
      </c>
      <c r="R88" s="93">
        <f>IF($I$1=1,VLOOKUP($E88,'2.จัดสรรหลังSK'!$E$4:$AA$98,12,FALSE),VLOOKUP($E88,Step!$E$5:$AG$99,24,FALSE))</f>
        <v>66005951.840000004</v>
      </c>
      <c r="S88" s="93">
        <f>IF($I$1=1,VLOOKUP($E88,'2.จัดสรรหลังSK'!$E$4:$AA$98,13,FALSE),VLOOKUP($E88,Step!$E$5:$AG$99,29,FALSE))</f>
        <v>13124080.279999999</v>
      </c>
      <c r="T88" s="65">
        <f>IF($H$111&lt;&gt;0,ROUND(ROUND(M88*I88,4)*Q88,2),VLOOKUP($E88,'2.จัดสรรหลังSK'!$E$4:$R$98,14,FALSE))</f>
        <v>24107902.969999999</v>
      </c>
      <c r="U88" s="93">
        <f>VLOOKUP($E88,'2.จัดสรรหลังSK'!$E$4:$S$98,15,FALSE)</f>
        <v>755076.48</v>
      </c>
      <c r="V88" s="93">
        <f>VLOOKUP($E88,'2.จัดสรรหลังSK'!$E$4:$T$98,16,FALSE)</f>
        <v>0</v>
      </c>
      <c r="W88" s="93">
        <f>VLOOKUP($E88,'2.จัดสรรหลังSK'!$E$4:$U$98,17,FALSE)</f>
        <v>0</v>
      </c>
      <c r="X88" s="8">
        <f t="shared" si="21"/>
        <v>103993011.57000001</v>
      </c>
      <c r="Y88" s="8">
        <f>VLOOKUP($E88,'2.จัดสรรหลังSK'!$E$4:$W$98,19,FALSE)</f>
        <v>44923756</v>
      </c>
      <c r="Z88" s="93">
        <f t="shared" si="22"/>
        <v>59069255.57</v>
      </c>
      <c r="AA88" s="66">
        <v>0</v>
      </c>
      <c r="AB88" s="96">
        <f t="shared" si="23"/>
        <v>59069255.57</v>
      </c>
      <c r="AC88" s="8">
        <f>VLOOKUP($E88,'2.จัดสรรหลังSK'!$E$4:$AA$98,23,FALSE)</f>
        <v>57250574.009999998</v>
      </c>
      <c r="AD88" s="8">
        <f>VLOOKUP($E88,'2.จัดสรรหลังSK'!$E$4:$AB$98,24,FALSE)</f>
        <v>54237385.909999996</v>
      </c>
      <c r="AE88" s="8">
        <f t="shared" si="24"/>
        <v>1818681.56</v>
      </c>
      <c r="AF88" s="8">
        <f t="shared" si="25"/>
        <v>4831869.66</v>
      </c>
      <c r="AG88" s="97" t="str">
        <f t="shared" si="26"/>
        <v>ผ่าน</v>
      </c>
      <c r="AH88" s="8">
        <f t="shared" si="37"/>
        <v>57250574.009999998</v>
      </c>
      <c r="AI88" s="98"/>
      <c r="AJ88" s="8">
        <f t="shared" si="27"/>
        <v>59069255.57</v>
      </c>
      <c r="AK88" s="98"/>
      <c r="AL88" s="98"/>
      <c r="AM88" s="8">
        <f t="shared" si="28"/>
        <v>0</v>
      </c>
      <c r="AN88" s="8">
        <f t="shared" si="29"/>
        <v>59069255.57</v>
      </c>
      <c r="AO88" s="8">
        <f t="shared" si="30"/>
        <v>59069255.57</v>
      </c>
    </row>
    <row r="89" spans="1:41" ht="14.25" customHeight="1" outlineLevel="2">
      <c r="A89" s="92">
        <v>567</v>
      </c>
      <c r="B89" s="60" t="s">
        <v>26</v>
      </c>
      <c r="C89" s="60" t="s">
        <v>153</v>
      </c>
      <c r="D89" s="60" t="s">
        <v>154</v>
      </c>
      <c r="E89" s="60" t="s">
        <v>175</v>
      </c>
      <c r="F89" s="60" t="s">
        <v>176</v>
      </c>
      <c r="G89" s="93">
        <v>1.1499999999999999</v>
      </c>
      <c r="H89" s="71"/>
      <c r="I89" s="65">
        <f t="shared" si="19"/>
        <v>1.1499999999999999</v>
      </c>
      <c r="J89" s="94">
        <f>VLOOKUP($E89,'2.จัดสรรหลังSK'!$E$4:$H$98,4,FALSE)</f>
        <v>53634</v>
      </c>
      <c r="K89" s="8">
        <f>IF($I$1=1,VLOOKUP($E89,'2.จัดสรรหลังSK'!$E$4:$AA$98,5,FALSE),VLOOKUP($E89,Step!$E$5:$AG$99,23,FALSE))</f>
        <v>1239.7050287131296</v>
      </c>
      <c r="L89" s="8">
        <f>IF($I$1=1,VLOOKUP($E89,'2.จัดสรรหลังSK'!$E$4:$AA$98,6,FALSE),VLOOKUP($E89,Step!$E$5:$AG$99,28,FALSE))</f>
        <v>246.49274601931609</v>
      </c>
      <c r="M89" s="95">
        <v>4128.3132999999998</v>
      </c>
      <c r="N89" s="95">
        <v>50.147500000000001</v>
      </c>
      <c r="O89" s="95">
        <v>0</v>
      </c>
      <c r="P89" s="95">
        <v>0</v>
      </c>
      <c r="Q89" s="93">
        <f t="shared" si="20"/>
        <v>7038.3311424701133</v>
      </c>
      <c r="R89" s="93">
        <f>IF($I$1=1,VLOOKUP($E89,'2.จัดสรรหลังSK'!$E$4:$AA$98,12,FALSE),VLOOKUP($E89,Step!$E$5:$AG$99,24,FALSE))</f>
        <v>66490339.509999998</v>
      </c>
      <c r="S89" s="93">
        <f>IF($I$1=1,VLOOKUP($E89,'2.จัดสรรหลังSK'!$E$4:$AA$98,13,FALSE),VLOOKUP($E89,Step!$E$5:$AG$99,29,FALSE))</f>
        <v>13220391.939999999</v>
      </c>
      <c r="T89" s="65">
        <f>IF($H$111&lt;&gt;0,ROUND(ROUND(M89*I89,4)*Q89,2),VLOOKUP($E89,'2.จัดสรรหลังSK'!$E$4:$R$98,14,FALSE))</f>
        <v>33414901.5</v>
      </c>
      <c r="U89" s="93">
        <f>VLOOKUP($E89,'2.จัดสรรหลังSK'!$E$4:$S$98,15,FALSE)</f>
        <v>481416</v>
      </c>
      <c r="V89" s="93">
        <f>VLOOKUP($E89,'2.จัดสรรหลังSK'!$E$4:$T$98,16,FALSE)</f>
        <v>0</v>
      </c>
      <c r="W89" s="93">
        <f>VLOOKUP($E89,'2.จัดสรรหลังSK'!$E$4:$U$98,17,FALSE)</f>
        <v>0</v>
      </c>
      <c r="X89" s="8">
        <f t="shared" si="21"/>
        <v>113607048.95</v>
      </c>
      <c r="Y89" s="8">
        <f>VLOOKUP($E89,'2.จัดสรรหลังSK'!$E$4:$W$98,19,FALSE)</f>
        <v>56917627</v>
      </c>
      <c r="Z89" s="93">
        <f t="shared" si="22"/>
        <v>56689421.950000003</v>
      </c>
      <c r="AA89" s="66">
        <v>0</v>
      </c>
      <c r="AB89" s="96">
        <f t="shared" si="23"/>
        <v>56689421.950000003</v>
      </c>
      <c r="AC89" s="8">
        <f>VLOOKUP($E89,'2.จัดสรรหลังSK'!$E$4:$AA$98,23,FALSE)</f>
        <v>53752078.210000001</v>
      </c>
      <c r="AD89" s="8">
        <f>VLOOKUP($E89,'2.จัดสรรหลังSK'!$E$4:$AB$98,24,FALSE)</f>
        <v>50923021.460000001</v>
      </c>
      <c r="AE89" s="8">
        <f t="shared" si="24"/>
        <v>2937343.74</v>
      </c>
      <c r="AF89" s="8">
        <f t="shared" si="25"/>
        <v>5766400.4900000002</v>
      </c>
      <c r="AG89" s="97" t="str">
        <f t="shared" si="26"/>
        <v>ผ่าน</v>
      </c>
      <c r="AH89" s="8">
        <f t="shared" si="37"/>
        <v>53752078.210000001</v>
      </c>
      <c r="AI89" s="98"/>
      <c r="AJ89" s="8">
        <f t="shared" si="27"/>
        <v>56689421.950000003</v>
      </c>
      <c r="AK89" s="98"/>
      <c r="AL89" s="98"/>
      <c r="AM89" s="8">
        <f t="shared" si="28"/>
        <v>0</v>
      </c>
      <c r="AN89" s="8">
        <f t="shared" si="29"/>
        <v>56689421.950000003</v>
      </c>
      <c r="AO89" s="8">
        <f t="shared" si="30"/>
        <v>56689421.950000003</v>
      </c>
    </row>
    <row r="90" spans="1:41" ht="14.25" customHeight="1" outlineLevel="2">
      <c r="A90" s="92">
        <v>568</v>
      </c>
      <c r="B90" s="60" t="s">
        <v>26</v>
      </c>
      <c r="C90" s="60" t="s">
        <v>153</v>
      </c>
      <c r="D90" s="60" t="s">
        <v>154</v>
      </c>
      <c r="E90" s="60" t="s">
        <v>177</v>
      </c>
      <c r="F90" s="60" t="s">
        <v>178</v>
      </c>
      <c r="G90" s="93">
        <v>1.3</v>
      </c>
      <c r="H90" s="71"/>
      <c r="I90" s="65">
        <f t="shared" si="19"/>
        <v>1.3</v>
      </c>
      <c r="J90" s="94">
        <f>VLOOKUP($E90,'2.จัดสรรหลังSK'!$E$4:$H$98,4,FALSE)</f>
        <v>26653</v>
      </c>
      <c r="K90" s="8">
        <f>IF($I$1=1,VLOOKUP($E90,'2.จัดสรรหลังSK'!$E$4:$AA$98,5,FALSE),VLOOKUP($E90,Step!$E$5:$AG$99,23,FALSE))</f>
        <v>1461.6328510861817</v>
      </c>
      <c r="L90" s="8">
        <f>IF($I$1=1,VLOOKUP($E90,'2.จัดสรรหลังSK'!$E$4:$AA$98,6,FALSE),VLOOKUP($E90,Step!$E$5:$AG$99,28,FALSE))</f>
        <v>290.61904776197804</v>
      </c>
      <c r="M90" s="95">
        <v>1494.0741</v>
      </c>
      <c r="N90" s="95">
        <v>23.474</v>
      </c>
      <c r="O90" s="95">
        <v>0</v>
      </c>
      <c r="P90" s="95">
        <v>0</v>
      </c>
      <c r="Q90" s="93">
        <f t="shared" si="20"/>
        <v>7038.3311424701133</v>
      </c>
      <c r="R90" s="93">
        <f>IF($I$1=1,VLOOKUP($E90,'2.จัดสรรหลังSK'!$E$4:$AA$98,12,FALSE),VLOOKUP($E90,Step!$E$5:$AG$99,24,FALSE))</f>
        <v>38956900.380000003</v>
      </c>
      <c r="S90" s="93">
        <f>IF($I$1=1,VLOOKUP($E90,'2.จัดสรรหลังSK'!$E$4:$AA$98,13,FALSE),VLOOKUP($E90,Step!$E$5:$AG$99,29,FALSE))</f>
        <v>7745869.4800000004</v>
      </c>
      <c r="T90" s="65">
        <f>IF($H$111&lt;&gt;0,ROUND(ROUND(M90*I90,4)*Q90,2),VLOOKUP($E90,'2.จัดสรรหลังSK'!$E$4:$R$98,14,FALSE))</f>
        <v>13670524.529999999</v>
      </c>
      <c r="U90" s="93">
        <f>VLOOKUP($E90,'2.จัดสรรหลังSK'!$E$4:$S$98,15,FALSE)</f>
        <v>225350.39999999999</v>
      </c>
      <c r="V90" s="93">
        <f>VLOOKUP($E90,'2.จัดสรรหลังSK'!$E$4:$T$98,16,FALSE)</f>
        <v>0</v>
      </c>
      <c r="W90" s="93">
        <f>VLOOKUP($E90,'2.จัดสรรหลังSK'!$E$4:$U$98,17,FALSE)</f>
        <v>0</v>
      </c>
      <c r="X90" s="8">
        <f t="shared" si="21"/>
        <v>60598644.789999999</v>
      </c>
      <c r="Y90" s="8">
        <f>VLOOKUP($E90,'2.จัดสรรหลังSK'!$E$4:$W$98,19,FALSE)</f>
        <v>25662941</v>
      </c>
      <c r="Z90" s="93">
        <f t="shared" si="22"/>
        <v>34935703.789999999</v>
      </c>
      <c r="AA90" s="66">
        <v>0</v>
      </c>
      <c r="AB90" s="96">
        <f t="shared" si="23"/>
        <v>34935703.789999999</v>
      </c>
      <c r="AC90" s="8">
        <f>VLOOKUP($E90,'2.จัดสรรหลังSK'!$E$4:$AA$98,23,FALSE)</f>
        <v>31443744.23</v>
      </c>
      <c r="AD90" s="8">
        <f>VLOOKUP($E90,'2.จัดสรรหลังSK'!$E$4:$AB$98,24,FALSE)</f>
        <v>29788810.329999998</v>
      </c>
      <c r="AE90" s="8">
        <f t="shared" si="24"/>
        <v>3491959.56</v>
      </c>
      <c r="AF90" s="8">
        <f t="shared" si="25"/>
        <v>5146893.46</v>
      </c>
      <c r="AG90" s="97" t="str">
        <f t="shared" si="26"/>
        <v>ผ่าน</v>
      </c>
      <c r="AH90" s="8">
        <f t="shared" si="37"/>
        <v>31443744.23</v>
      </c>
      <c r="AI90" s="98"/>
      <c r="AJ90" s="8">
        <f t="shared" si="27"/>
        <v>34935703.789999999</v>
      </c>
      <c r="AK90" s="98"/>
      <c r="AL90" s="98"/>
      <c r="AM90" s="8">
        <f t="shared" si="28"/>
        <v>0</v>
      </c>
      <c r="AN90" s="8">
        <f t="shared" si="29"/>
        <v>34935703.789999999</v>
      </c>
      <c r="AO90" s="8">
        <f t="shared" si="30"/>
        <v>34935703.789999999</v>
      </c>
    </row>
    <row r="91" spans="1:41" ht="14.25" customHeight="1" outlineLevel="2">
      <c r="A91" s="92">
        <v>569</v>
      </c>
      <c r="B91" s="60" t="s">
        <v>26</v>
      </c>
      <c r="C91" s="60" t="s">
        <v>153</v>
      </c>
      <c r="D91" s="60" t="s">
        <v>154</v>
      </c>
      <c r="E91" s="60" t="s">
        <v>179</v>
      </c>
      <c r="F91" s="60" t="s">
        <v>180</v>
      </c>
      <c r="G91" s="93">
        <v>1.35</v>
      </c>
      <c r="H91" s="71"/>
      <c r="I91" s="65">
        <f t="shared" si="19"/>
        <v>1.35</v>
      </c>
      <c r="J91" s="94">
        <f>VLOOKUP($E91,'2.จัดสรรหลังSK'!$E$4:$H$98,4,FALSE)</f>
        <v>17988</v>
      </c>
      <c r="K91" s="8">
        <f>IF($I$1=1,VLOOKUP($E91,'2.จัดสรรหลังSK'!$E$4:$AA$98,5,FALSE),VLOOKUP($E91,Step!$E$5:$AG$99,23,FALSE))</f>
        <v>1553.1858583500111</v>
      </c>
      <c r="L91" s="8">
        <f>IF($I$1=1,VLOOKUP($E91,'2.จัดสรรหลังSK'!$E$4:$AA$98,6,FALSE),VLOOKUP($E91,Step!$E$5:$AG$99,28,FALSE))</f>
        <v>308.82269457416055</v>
      </c>
      <c r="M91" s="95">
        <v>1129.8635999999999</v>
      </c>
      <c r="N91" s="95">
        <v>58.882899999999999</v>
      </c>
      <c r="O91" s="95">
        <v>0</v>
      </c>
      <c r="P91" s="95">
        <v>0</v>
      </c>
      <c r="Q91" s="93">
        <f t="shared" si="20"/>
        <v>7038.3311424701133</v>
      </c>
      <c r="R91" s="93">
        <f>IF($I$1=1,VLOOKUP($E91,'2.จัดสรรหลังSK'!$E$4:$AA$98,12,FALSE),VLOOKUP($E91,Step!$E$5:$AG$99,24,FALSE))</f>
        <v>27938707.219999999</v>
      </c>
      <c r="S91" s="93">
        <f>IF($I$1=1,VLOOKUP($E91,'2.จัดสรรหลังSK'!$E$4:$AA$98,13,FALSE),VLOOKUP($E91,Step!$E$5:$AG$99,29,FALSE))</f>
        <v>5555102.6299999999</v>
      </c>
      <c r="T91" s="65">
        <f>IF($H$111&lt;&gt;0,ROUND(ROUND(M91*I91,4)*Q91,2),VLOOKUP($E91,'2.จัดสรรหลังSK'!$E$4:$R$98,14,FALSE))</f>
        <v>10735678.4</v>
      </c>
      <c r="U91" s="93">
        <f>VLOOKUP($E91,'2.จัดสรรหลังSK'!$E$4:$S$98,15,FALSE)</f>
        <v>565275.84</v>
      </c>
      <c r="V91" s="93">
        <f>VLOOKUP($E91,'2.จัดสรรหลังSK'!$E$4:$T$98,16,FALSE)</f>
        <v>0</v>
      </c>
      <c r="W91" s="93">
        <f>VLOOKUP($E91,'2.จัดสรรหลังSK'!$E$4:$U$98,17,FALSE)</f>
        <v>0</v>
      </c>
      <c r="X91" s="8">
        <f t="shared" si="21"/>
        <v>44794764.090000004</v>
      </c>
      <c r="Y91" s="8">
        <f>VLOOKUP($E91,'2.จัดสรรหลังSK'!$E$4:$W$98,19,FALSE)</f>
        <v>24304903</v>
      </c>
      <c r="Z91" s="93">
        <f t="shared" si="22"/>
        <v>20489861.09</v>
      </c>
      <c r="AA91" s="66">
        <v>0</v>
      </c>
      <c r="AB91" s="96">
        <f t="shared" si="23"/>
        <v>20489861.09</v>
      </c>
      <c r="AC91" s="8">
        <f>VLOOKUP($E91,'2.จัดสรรหลังSK'!$E$4:$AA$98,23,FALSE)</f>
        <v>19816702.440000001</v>
      </c>
      <c r="AD91" s="8">
        <f>VLOOKUP($E91,'2.จัดสรรหลังSK'!$E$4:$AB$98,24,FALSE)</f>
        <v>18773718.100000001</v>
      </c>
      <c r="AE91" s="8">
        <f t="shared" si="24"/>
        <v>673158.65</v>
      </c>
      <c r="AF91" s="8">
        <f t="shared" si="25"/>
        <v>1716142.99</v>
      </c>
      <c r="AG91" s="97" t="str">
        <f t="shared" si="26"/>
        <v>ผ่าน</v>
      </c>
      <c r="AH91" s="8">
        <f t="shared" si="37"/>
        <v>19816702.440000001</v>
      </c>
      <c r="AI91" s="98"/>
      <c r="AJ91" s="8">
        <f t="shared" si="27"/>
        <v>20489861.09</v>
      </c>
      <c r="AK91" s="98"/>
      <c r="AL91" s="98"/>
      <c r="AM91" s="8">
        <f t="shared" si="28"/>
        <v>0</v>
      </c>
      <c r="AN91" s="8">
        <f t="shared" si="29"/>
        <v>20489861.09</v>
      </c>
      <c r="AO91" s="8">
        <f t="shared" si="30"/>
        <v>20489861.09</v>
      </c>
    </row>
    <row r="92" spans="1:41" ht="14.25" customHeight="1" outlineLevel="2">
      <c r="A92" s="92">
        <v>570</v>
      </c>
      <c r="B92" s="60" t="s">
        <v>26</v>
      </c>
      <c r="C92" s="60" t="s">
        <v>153</v>
      </c>
      <c r="D92" s="60" t="s">
        <v>154</v>
      </c>
      <c r="E92" s="60" t="s">
        <v>181</v>
      </c>
      <c r="F92" s="60" t="s">
        <v>182</v>
      </c>
      <c r="G92" s="93">
        <v>1.3</v>
      </c>
      <c r="H92" s="71"/>
      <c r="I92" s="65">
        <f t="shared" si="19"/>
        <v>1.3</v>
      </c>
      <c r="J92" s="94">
        <f>VLOOKUP($E92,'2.จัดสรรหลังSK'!$E$4:$H$98,4,FALSE)</f>
        <v>24862</v>
      </c>
      <c r="K92" s="8">
        <f>IF($I$1=1,VLOOKUP($E92,'2.จัดสรรหลังSK'!$E$4:$AA$98,5,FALSE),VLOOKUP($E92,Step!$E$5:$AG$99,23,FALSE))</f>
        <v>1478.2651753680316</v>
      </c>
      <c r="L92" s="8">
        <f>IF($I$1=1,VLOOKUP($E92,'2.จัดสรรหลังSK'!$E$4:$AA$98,6,FALSE),VLOOKUP($E92,Step!$E$5:$AG$99,28,FALSE))</f>
        <v>293.92608237470836</v>
      </c>
      <c r="M92" s="95">
        <v>1659.4283</v>
      </c>
      <c r="N92" s="95">
        <v>32.650300000000001</v>
      </c>
      <c r="O92" s="95">
        <v>0</v>
      </c>
      <c r="P92" s="95">
        <v>0</v>
      </c>
      <c r="Q92" s="93">
        <f t="shared" si="20"/>
        <v>7038.3311424701133</v>
      </c>
      <c r="R92" s="93">
        <f>IF($I$1=1,VLOOKUP($E92,'2.จัดสรรหลังSK'!$E$4:$AA$98,12,FALSE),VLOOKUP($E92,Step!$E$5:$AG$99,24,FALSE))</f>
        <v>36752628.789999999</v>
      </c>
      <c r="S92" s="93">
        <f>IF($I$1=1,VLOOKUP($E92,'2.จัดสรรหลังSK'!$E$4:$AA$98,13,FALSE),VLOOKUP($E92,Step!$E$5:$AG$99,29,FALSE))</f>
        <v>7307590.2599999998</v>
      </c>
      <c r="T92" s="65">
        <f>IF($H$111&lt;&gt;0,ROUND(ROUND(M92*I92,4)*Q92,2),VLOOKUP($E92,'2.จัดสรรหลังSK'!$E$4:$R$98,14,FALSE))</f>
        <v>15183487.710000001</v>
      </c>
      <c r="U92" s="93">
        <f>VLOOKUP($E92,'2.จัดสรรหลังSK'!$E$4:$S$98,15,FALSE)</f>
        <v>313442.88</v>
      </c>
      <c r="V92" s="93">
        <f>VLOOKUP($E92,'2.จัดสรรหลังSK'!$E$4:$T$98,16,FALSE)</f>
        <v>0</v>
      </c>
      <c r="W92" s="93">
        <f>VLOOKUP($E92,'2.จัดสรรหลังSK'!$E$4:$U$98,17,FALSE)</f>
        <v>0</v>
      </c>
      <c r="X92" s="8">
        <f t="shared" si="21"/>
        <v>59557149.640000001</v>
      </c>
      <c r="Y92" s="8">
        <f>VLOOKUP($E92,'2.จัดสรรหลังSK'!$E$4:$W$98,19,FALSE)</f>
        <v>34169973</v>
      </c>
      <c r="Z92" s="93">
        <f t="shared" si="22"/>
        <v>25387176.640000001</v>
      </c>
      <c r="AA92" s="66">
        <v>1502226.09</v>
      </c>
      <c r="AB92" s="96">
        <f t="shared" si="23"/>
        <v>26889402.73</v>
      </c>
      <c r="AC92" s="8">
        <f>VLOOKUP($E92,'2.จัดสรรหลังSK'!$E$4:$AA$98,23,FALSE)</f>
        <v>26889402.73</v>
      </c>
      <c r="AD92" s="8">
        <f>VLOOKUP($E92,'2.จัดสรรหลังSK'!$E$4:$AB$98,24,FALSE)</f>
        <v>25474171.010000002</v>
      </c>
      <c r="AE92" s="8">
        <f t="shared" si="24"/>
        <v>0</v>
      </c>
      <c r="AF92" s="8">
        <f t="shared" si="25"/>
        <v>1415231.72</v>
      </c>
      <c r="AG92" s="97" t="str">
        <f t="shared" si="26"/>
        <v>ผ่าน</v>
      </c>
      <c r="AH92" s="8">
        <f t="shared" si="37"/>
        <v>26889402.73</v>
      </c>
      <c r="AI92" s="98"/>
      <c r="AJ92" s="8">
        <f t="shared" si="27"/>
        <v>26889402.73</v>
      </c>
      <c r="AK92" s="98"/>
      <c r="AL92" s="98"/>
      <c r="AM92" s="8">
        <f t="shared" si="28"/>
        <v>0</v>
      </c>
      <c r="AN92" s="8">
        <f t="shared" si="29"/>
        <v>26889402.73</v>
      </c>
      <c r="AO92" s="8">
        <f t="shared" si="30"/>
        <v>26889402.73</v>
      </c>
    </row>
    <row r="93" spans="1:41" ht="14.25" customHeight="1" outlineLevel="2">
      <c r="A93" s="92">
        <v>571</v>
      </c>
      <c r="B93" s="60" t="s">
        <v>26</v>
      </c>
      <c r="C93" s="60" t="s">
        <v>153</v>
      </c>
      <c r="D93" s="60" t="s">
        <v>154</v>
      </c>
      <c r="E93" s="60" t="s">
        <v>183</v>
      </c>
      <c r="F93" s="60" t="s">
        <v>184</v>
      </c>
      <c r="G93" s="93">
        <v>1.25</v>
      </c>
      <c r="H93" s="71"/>
      <c r="I93" s="65">
        <f t="shared" si="19"/>
        <v>1.25</v>
      </c>
      <c r="J93" s="94">
        <f>VLOOKUP($E93,'2.จัดสรรหลังSK'!$E$4:$H$98,4,FALSE)</f>
        <v>33221</v>
      </c>
      <c r="K93" s="8">
        <f>IF($I$1=1,VLOOKUP($E93,'2.จัดสรรหลังSK'!$E$4:$AA$98,5,FALSE),VLOOKUP($E93,Step!$E$5:$AG$99,23,FALSE))</f>
        <v>1398.9386198488908</v>
      </c>
      <c r="L93" s="8">
        <f>IF($I$1=1,VLOOKUP($E93,'2.จัดสรรหลังSK'!$E$4:$AA$98,6,FALSE),VLOOKUP($E93,Step!$E$5:$AG$99,28,FALSE))</f>
        <v>278.15344270190542</v>
      </c>
      <c r="M93" s="95">
        <v>1213.3333</v>
      </c>
      <c r="N93" s="95">
        <v>24.559200000000001</v>
      </c>
      <c r="O93" s="95">
        <v>0</v>
      </c>
      <c r="P93" s="95">
        <v>0</v>
      </c>
      <c r="Q93" s="93">
        <f t="shared" si="20"/>
        <v>7038.3311424701133</v>
      </c>
      <c r="R93" s="93">
        <f>IF($I$1=1,VLOOKUP($E93,'2.จัดสรรหลังSK'!$E$4:$AA$98,12,FALSE),VLOOKUP($E93,Step!$E$5:$AG$99,24,FALSE))</f>
        <v>46474139.890000001</v>
      </c>
      <c r="S93" s="93">
        <f>IF($I$1=1,VLOOKUP($E93,'2.จัดสรรหลังSK'!$E$4:$AA$98,13,FALSE),VLOOKUP($E93,Step!$E$5:$AG$99,29,FALSE))</f>
        <v>9240535.5199999996</v>
      </c>
      <c r="T93" s="65">
        <f>IF($H$111&lt;&gt;0,ROUND(ROUND(M93*I93,4)*Q93,2),VLOOKUP($E93,'2.จัดสรรหลังSK'!$E$4:$R$98,14,FALSE))</f>
        <v>10674801.76</v>
      </c>
      <c r="U93" s="93">
        <f>VLOOKUP($E93,'2.จัดสรรหลังSK'!$E$4:$S$98,15,FALSE)</f>
        <v>235768.32000000001</v>
      </c>
      <c r="V93" s="93">
        <f>VLOOKUP($E93,'2.จัดสรรหลังSK'!$E$4:$T$98,16,FALSE)</f>
        <v>0</v>
      </c>
      <c r="W93" s="93">
        <f>VLOOKUP($E93,'2.จัดสรรหลังSK'!$E$4:$U$98,17,FALSE)</f>
        <v>0</v>
      </c>
      <c r="X93" s="8">
        <f t="shared" si="21"/>
        <v>66625245.489999995</v>
      </c>
      <c r="Y93" s="8">
        <f>VLOOKUP($E93,'2.จัดสรรหลังSK'!$E$4:$W$98,19,FALSE)</f>
        <v>27626150</v>
      </c>
      <c r="Z93" s="93">
        <f t="shared" si="22"/>
        <v>38999095.490000002</v>
      </c>
      <c r="AA93" s="66">
        <v>0</v>
      </c>
      <c r="AB93" s="96">
        <f t="shared" si="23"/>
        <v>38999095.490000002</v>
      </c>
      <c r="AC93" s="8">
        <f>VLOOKUP($E93,'2.จัดสรรหลังSK'!$E$4:$AA$98,23,FALSE)</f>
        <v>35030464.140000001</v>
      </c>
      <c r="AD93" s="8">
        <f>VLOOKUP($E93,'2.จัดสรรหลังSK'!$E$4:$AB$98,24,FALSE)</f>
        <v>33186755.5</v>
      </c>
      <c r="AE93" s="8">
        <f t="shared" si="24"/>
        <v>3968631.35</v>
      </c>
      <c r="AF93" s="8">
        <f t="shared" si="25"/>
        <v>5812339.9900000002</v>
      </c>
      <c r="AG93" s="97" t="str">
        <f t="shared" si="26"/>
        <v>ผ่าน</v>
      </c>
      <c r="AH93" s="8">
        <f t="shared" si="37"/>
        <v>35030464.140000001</v>
      </c>
      <c r="AI93" s="98"/>
      <c r="AJ93" s="8">
        <f t="shared" si="27"/>
        <v>38999095.490000002</v>
      </c>
      <c r="AK93" s="98"/>
      <c r="AL93" s="98"/>
      <c r="AM93" s="8">
        <f t="shared" si="28"/>
        <v>0</v>
      </c>
      <c r="AN93" s="8">
        <f t="shared" si="29"/>
        <v>38999095.490000002</v>
      </c>
      <c r="AO93" s="8">
        <f t="shared" si="30"/>
        <v>38999095.490000002</v>
      </c>
    </row>
    <row r="94" spans="1:41" ht="14.25" customHeight="1" outlineLevel="2">
      <c r="A94" s="92">
        <v>572</v>
      </c>
      <c r="B94" s="60" t="s">
        <v>26</v>
      </c>
      <c r="C94" s="60" t="s">
        <v>153</v>
      </c>
      <c r="D94" s="60" t="s">
        <v>154</v>
      </c>
      <c r="E94" s="60" t="s">
        <v>185</v>
      </c>
      <c r="F94" s="60" t="s">
        <v>186</v>
      </c>
      <c r="G94" s="93">
        <v>1.3</v>
      </c>
      <c r="H94" s="71"/>
      <c r="I94" s="65">
        <f t="shared" si="19"/>
        <v>1.3</v>
      </c>
      <c r="J94" s="94">
        <f>VLOOKUP($E94,'2.จัดสรรหลังSK'!$E$4:$H$98,4,FALSE)</f>
        <v>28324</v>
      </c>
      <c r="K94" s="8">
        <f>IF($I$1=1,VLOOKUP($E94,'2.จัดสรรหลังSK'!$E$4:$AA$98,5,FALSE),VLOOKUP($E94,Step!$E$5:$AG$99,23,FALSE))</f>
        <v>1448.0116537212257</v>
      </c>
      <c r="L94" s="8">
        <f>IF($I$1=1,VLOOKUP($E94,'2.จัดสรรหลังSK'!$E$4:$AA$98,6,FALSE),VLOOKUP($E94,Step!$E$5:$AG$99,28,FALSE))</f>
        <v>287.91072129642703</v>
      </c>
      <c r="M94" s="95">
        <v>1427.8164999999999</v>
      </c>
      <c r="N94" s="95">
        <v>17.187799999999999</v>
      </c>
      <c r="O94" s="95">
        <v>1.9117999999999999</v>
      </c>
      <c r="P94" s="95">
        <v>0</v>
      </c>
      <c r="Q94" s="93">
        <f t="shared" si="20"/>
        <v>7038.3311424701133</v>
      </c>
      <c r="R94" s="93">
        <f>IF($I$1=1,VLOOKUP($E94,'2.จัดสรรหลังSK'!$E$4:$AA$98,12,FALSE),VLOOKUP($E94,Step!$E$5:$AG$99,24,FALSE))</f>
        <v>41013482.079999998</v>
      </c>
      <c r="S94" s="93">
        <f>IF($I$1=1,VLOOKUP($E94,'2.จัดสรรหลังSK'!$E$4:$AA$98,13,FALSE),VLOOKUP($E94,Step!$E$5:$AG$99,29,FALSE))</f>
        <v>8154783.2699999996</v>
      </c>
      <c r="T94" s="65">
        <f>IF($H$111&lt;&gt;0,ROUND(ROUND(M94*I94,4)*Q94,2),VLOOKUP($E94,'2.จัดสรรหลังSK'!$E$4:$R$98,14,FALSE))</f>
        <v>13064279.289999999</v>
      </c>
      <c r="U94" s="93">
        <f>VLOOKUP($E94,'2.จัดสรรหลังSK'!$E$4:$S$98,15,FALSE)</f>
        <v>165002.88</v>
      </c>
      <c r="V94" s="93">
        <f>VLOOKUP($E94,'2.จัดสรรหลังSK'!$E$4:$T$98,16,FALSE)</f>
        <v>17206.2</v>
      </c>
      <c r="W94" s="93">
        <f>VLOOKUP($E94,'2.จัดสรรหลังSK'!$E$4:$U$98,17,FALSE)</f>
        <v>0</v>
      </c>
      <c r="X94" s="8">
        <f t="shared" si="21"/>
        <v>62414753.719999999</v>
      </c>
      <c r="Y94" s="8">
        <f>VLOOKUP($E94,'2.จัดสรรหลังSK'!$E$4:$W$98,19,FALSE)</f>
        <v>25306632</v>
      </c>
      <c r="Z94" s="93">
        <f t="shared" si="22"/>
        <v>37108121.719999999</v>
      </c>
      <c r="AA94" s="66">
        <v>0</v>
      </c>
      <c r="AB94" s="96">
        <f t="shared" si="23"/>
        <v>37108121.719999999</v>
      </c>
      <c r="AC94" s="8">
        <f>VLOOKUP($E94,'2.จัดสรรหลังSK'!$E$4:$AA$98,23,FALSE)</f>
        <v>34856349</v>
      </c>
      <c r="AD94" s="8">
        <f>VLOOKUP($E94,'2.จัดสรรหลังSK'!$E$4:$AB$98,24,FALSE)</f>
        <v>33021804.309999999</v>
      </c>
      <c r="AE94" s="8">
        <f t="shared" si="24"/>
        <v>2251772.7200000002</v>
      </c>
      <c r="AF94" s="8">
        <f t="shared" si="25"/>
        <v>4086317.41</v>
      </c>
      <c r="AG94" s="97" t="str">
        <f t="shared" si="26"/>
        <v>ผ่าน</v>
      </c>
      <c r="AH94" s="8">
        <f t="shared" si="37"/>
        <v>34856349</v>
      </c>
      <c r="AI94" s="98"/>
      <c r="AJ94" s="8">
        <f t="shared" si="27"/>
        <v>37108121.719999999</v>
      </c>
      <c r="AK94" s="98"/>
      <c r="AL94" s="98"/>
      <c r="AM94" s="8">
        <f t="shared" si="28"/>
        <v>0</v>
      </c>
      <c r="AN94" s="8">
        <f t="shared" si="29"/>
        <v>37108121.719999999</v>
      </c>
      <c r="AO94" s="8">
        <f t="shared" si="30"/>
        <v>37108121.719999999</v>
      </c>
    </row>
    <row r="95" spans="1:41" ht="14.25" customHeight="1" outlineLevel="2">
      <c r="A95" s="92">
        <v>573</v>
      </c>
      <c r="B95" s="60" t="s">
        <v>26</v>
      </c>
      <c r="C95" s="60" t="s">
        <v>153</v>
      </c>
      <c r="D95" s="60" t="s">
        <v>154</v>
      </c>
      <c r="E95" s="60" t="s">
        <v>187</v>
      </c>
      <c r="F95" s="60" t="s">
        <v>188</v>
      </c>
      <c r="G95" s="93">
        <v>1.1000000000000001</v>
      </c>
      <c r="H95" s="71"/>
      <c r="I95" s="65">
        <f t="shared" si="19"/>
        <v>1.1000000000000001</v>
      </c>
      <c r="J95" s="94">
        <f>VLOOKUP($E95,'2.จัดสรรหลังSK'!$E$4:$H$98,4,FALSE)</f>
        <v>113920</v>
      </c>
      <c r="K95" s="8">
        <f>IF($I$1=1,VLOOKUP($E95,'2.จัดสรรหลังSK'!$E$4:$AA$98,5,FALSE),VLOOKUP($E95,Step!$E$5:$AG$99,23,FALSE))</f>
        <v>1018.8436652036518</v>
      </c>
      <c r="L95" s="8">
        <f>IF($I$1=1,VLOOKUP($E95,'2.จัดสรรหลังSK'!$E$4:$AA$98,6,FALSE),VLOOKUP($E95,Step!$E$5:$AG$99,28,FALSE))</f>
        <v>202.57849008075843</v>
      </c>
      <c r="M95" s="95">
        <v>12707.294400000001</v>
      </c>
      <c r="N95" s="95">
        <v>266.36020000000002</v>
      </c>
      <c r="O95" s="95">
        <v>251.60709999999997</v>
      </c>
      <c r="P95" s="95">
        <v>25.874000000000002</v>
      </c>
      <c r="Q95" s="93">
        <f t="shared" si="20"/>
        <v>7038.3311424701133</v>
      </c>
      <c r="R95" s="93">
        <f>IF($I$1=1,VLOOKUP($E95,'2.จัดสรรหลังSK'!$E$4:$AA$98,12,FALSE),VLOOKUP($E95,Step!$E$5:$AG$99,24,FALSE))</f>
        <v>116066670.34</v>
      </c>
      <c r="S95" s="93">
        <f>IF($I$1=1,VLOOKUP($E95,'2.จัดสรรหลังSK'!$E$4:$AA$98,13,FALSE),VLOOKUP($E95,Step!$E$5:$AG$99,29,FALSE))</f>
        <v>23077741.59</v>
      </c>
      <c r="T95" s="65">
        <f>IF($H$111&lt;&gt;0,ROUND(ROUND(M95*I95,4)*Q95,2),VLOOKUP($E95,'2.จัดสรรหลังSK'!$E$4:$R$98,14,FALSE))</f>
        <v>98381960.200000003</v>
      </c>
      <c r="U95" s="93">
        <f>VLOOKUP($E95,'2.จัดสรรหลังSK'!$E$4:$S$98,15,FALSE)</f>
        <v>2557057.92</v>
      </c>
      <c r="V95" s="93">
        <f>VLOOKUP($E95,'2.จัดสรรหลังSK'!$E$4:$T$98,16,FALSE)</f>
        <v>2264463.9</v>
      </c>
      <c r="W95" s="93">
        <f>VLOOKUP($E95,'2.จัดสรรหลังSK'!$E$4:$U$98,17,FALSE)</f>
        <v>310488</v>
      </c>
      <c r="X95" s="8">
        <f t="shared" si="21"/>
        <v>242658381.94999999</v>
      </c>
      <c r="Y95" s="8">
        <f>VLOOKUP($E95,'2.จัดสรรหลังSK'!$E$4:$W$98,19,FALSE)</f>
        <v>118376434</v>
      </c>
      <c r="Z95" s="93">
        <f t="shared" si="22"/>
        <v>124281947.95</v>
      </c>
      <c r="AA95" s="66">
        <v>28799269.039999999</v>
      </c>
      <c r="AB95" s="96">
        <f t="shared" si="23"/>
        <v>153081216.99000001</v>
      </c>
      <c r="AC95" s="8">
        <f>VLOOKUP($E95,'2.จัดสรรหลังSK'!$E$4:$AA$98,23,FALSE)</f>
        <v>153081216.99000001</v>
      </c>
      <c r="AD95" s="8">
        <f>VLOOKUP($E95,'2.จัดสรรหลังSK'!$E$4:$AB$98,24,FALSE)</f>
        <v>145024310.84</v>
      </c>
      <c r="AE95" s="8">
        <f t="shared" si="24"/>
        <v>0</v>
      </c>
      <c r="AF95" s="8">
        <f t="shared" si="25"/>
        <v>8056906.1500000004</v>
      </c>
      <c r="AG95" s="97" t="str">
        <f t="shared" si="26"/>
        <v>ผ่าน</v>
      </c>
      <c r="AH95" s="8">
        <f t="shared" si="37"/>
        <v>153081216.99000001</v>
      </c>
      <c r="AI95" s="98"/>
      <c r="AJ95" s="8">
        <f t="shared" si="27"/>
        <v>153081216.99000001</v>
      </c>
      <c r="AK95" s="98"/>
      <c r="AL95" s="98"/>
      <c r="AM95" s="8">
        <f t="shared" si="28"/>
        <v>0</v>
      </c>
      <c r="AN95" s="8">
        <f t="shared" si="29"/>
        <v>153081216.99000001</v>
      </c>
      <c r="AO95" s="8">
        <f t="shared" si="30"/>
        <v>153081216.99000001</v>
      </c>
    </row>
    <row r="96" spans="1:41" ht="14.25" customHeight="1" outlineLevel="2">
      <c r="A96" s="92">
        <v>574</v>
      </c>
      <c r="B96" s="104" t="s">
        <v>26</v>
      </c>
      <c r="C96" s="60" t="s">
        <v>153</v>
      </c>
      <c r="D96" s="104" t="s">
        <v>154</v>
      </c>
      <c r="E96" s="104" t="s">
        <v>189</v>
      </c>
      <c r="F96" s="104" t="s">
        <v>190</v>
      </c>
      <c r="G96" s="93">
        <v>1.3</v>
      </c>
      <c r="H96" s="106"/>
      <c r="I96" s="65">
        <f t="shared" si="19"/>
        <v>1.3</v>
      </c>
      <c r="J96" s="94">
        <f>VLOOKUP($E96,'2.จัดสรรหลังSK'!$E$4:$H$98,4,FALSE)</f>
        <v>28670</v>
      </c>
      <c r="K96" s="8">
        <f>IF($I$1=1,VLOOKUP($E96,'2.จัดสรรหลังSK'!$E$4:$AA$98,5,FALSE),VLOOKUP($E96,Step!$E$5:$AG$99,23,FALSE))</f>
        <v>1445.3896494593653</v>
      </c>
      <c r="L96" s="8">
        <f>IF($I$1=1,VLOOKUP($E96,'2.จัดสรรหลังSK'!$E$4:$AA$98,6,FALSE),VLOOKUP($E96,Step!$E$5:$AG$99,28,FALSE))</f>
        <v>287.38938332752008</v>
      </c>
      <c r="M96" s="95">
        <v>907.36059999999998</v>
      </c>
      <c r="N96" s="95">
        <v>28.359000000000002</v>
      </c>
      <c r="O96" s="95">
        <v>0</v>
      </c>
      <c r="P96" s="95">
        <v>0</v>
      </c>
      <c r="Q96" s="93">
        <f t="shared" si="20"/>
        <v>7038.3311424701133</v>
      </c>
      <c r="R96" s="93">
        <f>IF($I$1=1,VLOOKUP($E96,'2.จัดสรรหลังSK'!$E$4:$AA$98,12,FALSE),VLOOKUP($E96,Step!$E$5:$AG$99,24,FALSE))</f>
        <v>41439321.25</v>
      </c>
      <c r="S96" s="93">
        <f>IF($I$1=1,VLOOKUP($E96,'2.จัดสรรหลังSK'!$E$4:$AA$98,13,FALSE),VLOOKUP($E96,Step!$E$5:$AG$99,29,FALSE))</f>
        <v>8239453.6200000001</v>
      </c>
      <c r="T96" s="65">
        <f>IF($H$111&lt;&gt;0,ROUND(ROUND(M96*I96,4)*Q96,2),VLOOKUP($E96,'2.จัดสรรหลังSK'!$E$4:$R$98,14,FALSE))</f>
        <v>8302195.8200000003</v>
      </c>
      <c r="U96" s="93">
        <f>VLOOKUP($E96,'2.จัดสรรหลังSK'!$E$4:$S$98,15,FALSE)</f>
        <v>272246.40000000002</v>
      </c>
      <c r="V96" s="93">
        <f>VLOOKUP($E96,'2.จัดสรรหลังSK'!$E$4:$T$98,16,FALSE)</f>
        <v>0</v>
      </c>
      <c r="W96" s="93">
        <f>VLOOKUP($E96,'2.จัดสรรหลังSK'!$E$4:$U$98,17,FALSE)</f>
        <v>0</v>
      </c>
      <c r="X96" s="8">
        <f t="shared" si="21"/>
        <v>58253217.089999996</v>
      </c>
      <c r="Y96" s="8">
        <f>VLOOKUP($E96,'2.จัดสรรหลังSK'!$E$4:$W$98,19,FALSE)</f>
        <v>23250524</v>
      </c>
      <c r="Z96" s="93">
        <f t="shared" si="22"/>
        <v>35002693.090000004</v>
      </c>
      <c r="AA96" s="66">
        <v>0</v>
      </c>
      <c r="AB96" s="96">
        <f t="shared" si="23"/>
        <v>35002693.090000004</v>
      </c>
      <c r="AC96" s="8">
        <f>VLOOKUP($E96,'2.จัดสรรหลังSK'!$E$4:$AA$98,23,FALSE)</f>
        <v>30028740.82</v>
      </c>
      <c r="AD96" s="8">
        <f>VLOOKUP($E96,'2.จัดสรรหลังSK'!$E$4:$AB$98,24,FALSE)</f>
        <v>28448280.77</v>
      </c>
      <c r="AE96" s="8">
        <f t="shared" si="24"/>
        <v>4973952.2699999996</v>
      </c>
      <c r="AF96" s="8">
        <f t="shared" si="25"/>
        <v>6554412.3200000003</v>
      </c>
      <c r="AG96" s="97" t="str">
        <f t="shared" si="26"/>
        <v>ผ่าน</v>
      </c>
      <c r="AH96" s="8">
        <f t="shared" ref="AH96:AH108" si="40">IF(AND(AB96&gt;AD96,AB96&lt;AC96),AB96,AC96)</f>
        <v>30028740.82</v>
      </c>
      <c r="AI96" s="112"/>
      <c r="AJ96" s="8">
        <f t="shared" si="27"/>
        <v>35002693.090000004</v>
      </c>
      <c r="AK96" s="112"/>
      <c r="AL96" s="112"/>
      <c r="AM96" s="8">
        <f t="shared" si="28"/>
        <v>0</v>
      </c>
      <c r="AN96" s="8">
        <f t="shared" si="29"/>
        <v>35002693.090000004</v>
      </c>
      <c r="AO96" s="8">
        <f t="shared" si="30"/>
        <v>35002693.090000004</v>
      </c>
    </row>
    <row r="97" spans="1:41" ht="14.25" customHeight="1" outlineLevel="1">
      <c r="A97" s="172"/>
      <c r="B97" s="173"/>
      <c r="C97" s="104"/>
      <c r="D97" s="174" t="s">
        <v>268</v>
      </c>
      <c r="E97" s="173"/>
      <c r="F97" s="173"/>
      <c r="G97" s="175"/>
      <c r="H97" s="176"/>
      <c r="I97" s="177"/>
      <c r="J97" s="178">
        <f t="shared" ref="J97:AF97" si="41">SUBTOTAL(9,J79:J96)</f>
        <v>852200</v>
      </c>
      <c r="K97" s="179">
        <f t="shared" si="41"/>
        <v>24183.131319332206</v>
      </c>
      <c r="L97" s="179">
        <f t="shared" si="41"/>
        <v>4808.3748220014495</v>
      </c>
      <c r="M97" s="180">
        <f t="shared" si="41"/>
        <v>116713.70759999998</v>
      </c>
      <c r="N97" s="180">
        <f t="shared" si="41"/>
        <v>2751.2419000000004</v>
      </c>
      <c r="O97" s="180">
        <f t="shared" si="41"/>
        <v>3322.3587000000002</v>
      </c>
      <c r="P97" s="180">
        <f t="shared" si="41"/>
        <v>482.8082</v>
      </c>
      <c r="Q97" s="175">
        <f t="shared" si="41"/>
        <v>126689.96056446199</v>
      </c>
      <c r="R97" s="175">
        <f t="shared" si="41"/>
        <v>1039308910.97</v>
      </c>
      <c r="S97" s="175">
        <f t="shared" si="41"/>
        <v>206647631.09</v>
      </c>
      <c r="T97" s="177">
        <f t="shared" si="41"/>
        <v>908096974.5400002</v>
      </c>
      <c r="U97" s="175">
        <f t="shared" si="41"/>
        <v>26411922.239999987</v>
      </c>
      <c r="V97" s="175">
        <f t="shared" si="41"/>
        <v>29901228.299999997</v>
      </c>
      <c r="W97" s="175">
        <f t="shared" si="41"/>
        <v>5793698.4000000004</v>
      </c>
      <c r="X97" s="179">
        <f t="shared" si="41"/>
        <v>2216160365.54</v>
      </c>
      <c r="Y97" s="179">
        <f t="shared" si="41"/>
        <v>1058294900</v>
      </c>
      <c r="Z97" s="175">
        <f t="shared" si="41"/>
        <v>1157865465.54</v>
      </c>
      <c r="AA97" s="181">
        <f t="shared" si="41"/>
        <v>33626843.100000001</v>
      </c>
      <c r="AB97" s="182">
        <f t="shared" si="41"/>
        <v>1191492308.6400001</v>
      </c>
      <c r="AC97" s="179">
        <f t="shared" si="41"/>
        <v>1102466001.0800002</v>
      </c>
      <c r="AD97" s="179">
        <f t="shared" si="41"/>
        <v>1044441474.7099999</v>
      </c>
      <c r="AE97" s="179">
        <f t="shared" si="41"/>
        <v>89026307.560000002</v>
      </c>
      <c r="AF97" s="179">
        <f t="shared" si="41"/>
        <v>147050833.92999995</v>
      </c>
      <c r="AG97" s="183"/>
      <c r="AH97" s="179">
        <f t="shared" ref="AH97:AO97" si="42">SUBTOTAL(9,AH79:AH96)</f>
        <v>1102466001.0800002</v>
      </c>
      <c r="AI97" s="184">
        <f t="shared" si="42"/>
        <v>0</v>
      </c>
      <c r="AJ97" s="179">
        <f t="shared" si="42"/>
        <v>1191492308.6400001</v>
      </c>
      <c r="AK97" s="184">
        <f t="shared" si="42"/>
        <v>0</v>
      </c>
      <c r="AL97" s="184">
        <f t="shared" si="42"/>
        <v>0</v>
      </c>
      <c r="AM97" s="179">
        <f t="shared" si="42"/>
        <v>0</v>
      </c>
      <c r="AN97" s="179">
        <f t="shared" si="42"/>
        <v>1191492308.6400001</v>
      </c>
      <c r="AO97" s="179">
        <f t="shared" si="42"/>
        <v>1191492308.6400001</v>
      </c>
    </row>
    <row r="98" spans="1:41" ht="14.25" customHeight="1" outlineLevel="2">
      <c r="A98" s="157">
        <v>575</v>
      </c>
      <c r="B98" s="104" t="s">
        <v>26</v>
      </c>
      <c r="C98" s="104" t="s">
        <v>191</v>
      </c>
      <c r="D98" s="104" t="s">
        <v>192</v>
      </c>
      <c r="E98" s="104" t="s">
        <v>193</v>
      </c>
      <c r="F98" s="104" t="s">
        <v>194</v>
      </c>
      <c r="G98" s="105">
        <v>1.1000000000000001</v>
      </c>
      <c r="H98" s="106"/>
      <c r="I98" s="107">
        <f t="shared" si="19"/>
        <v>1.1000000000000001</v>
      </c>
      <c r="J98" s="158">
        <f>VLOOKUP($E98,'2.จัดสรรหลังSK'!$E$4:$H$98,4,FALSE)</f>
        <v>108275</v>
      </c>
      <c r="K98" s="108">
        <f>IF($I$1=1,VLOOKUP($E98,'2.จัดสรรหลังSK'!$E$4:$AA$98,5,FALSE),VLOOKUP($E98,Step!$E$5:$AG$99,23,FALSE))</f>
        <v>1031.0291918725468</v>
      </c>
      <c r="L98" s="108">
        <f>IF($I$1=1,VLOOKUP($E98,'2.จัดสรรหลังSK'!$E$4:$AA$98,6,FALSE),VLOOKUP($E98,Step!$E$5:$AG$99,28,FALSE))</f>
        <v>204.56612957746478</v>
      </c>
      <c r="M98" s="109">
        <v>25516.167799999999</v>
      </c>
      <c r="N98" s="109">
        <v>671.09690000000001</v>
      </c>
      <c r="O98" s="109">
        <v>584.00580000000002</v>
      </c>
      <c r="P98" s="109">
        <v>130.05250000000001</v>
      </c>
      <c r="Q98" s="105">
        <f t="shared" si="20"/>
        <v>7038.3311424701133</v>
      </c>
      <c r="R98" s="105">
        <f>IF($I$1=1,VLOOKUP($E98,'2.จัดสรรหลังSK'!$E$4:$AA$98,12,FALSE),VLOOKUP($E98,Step!$E$5:$AG$99,24,FALSE))</f>
        <v>111634685.75</v>
      </c>
      <c r="S98" s="105">
        <f>IF($I$1=1,VLOOKUP($E98,'2.จัดสรรหลังSK'!$E$4:$AA$98,13,FALSE),VLOOKUP($E98,Step!$E$5:$AG$99,29,FALSE))</f>
        <v>22149397.68</v>
      </c>
      <c r="T98" s="65">
        <f>IF($H$111&lt;&gt;0,ROUND(ROUND(M98*I98,4)*Q98,2),VLOOKUP($E98,'2.จัดสรรหลังSK'!$E$4:$R$98,14,FALSE))</f>
        <v>197550362.40000001</v>
      </c>
      <c r="U98" s="105">
        <f>VLOOKUP($E98,'2.จัดสรรหลังSK'!$E$4:$S$98,15,FALSE)</f>
        <v>6442530.2400000002</v>
      </c>
      <c r="V98" s="105">
        <f>VLOOKUP($E98,'2.จัดสรรหลังSK'!$E$4:$T$98,16,FALSE)</f>
        <v>5256052.2</v>
      </c>
      <c r="W98" s="105">
        <f>VLOOKUP($E98,'2.จัดสรรหลังSK'!$E$4:$U$98,17,FALSE)</f>
        <v>1560630</v>
      </c>
      <c r="X98" s="108">
        <f t="shared" si="21"/>
        <v>344593658.27000004</v>
      </c>
      <c r="Y98" s="108">
        <f>VLOOKUP($E98,'2.จัดสรรหลังSK'!$E$4:$W$98,19,FALSE)</f>
        <v>223427111</v>
      </c>
      <c r="Z98" s="105">
        <f t="shared" si="22"/>
        <v>121166547.27</v>
      </c>
      <c r="AA98" s="110">
        <v>1142445.5900000001</v>
      </c>
      <c r="AB98" s="111">
        <f t="shared" si="23"/>
        <v>122308992.86</v>
      </c>
      <c r="AC98" s="108">
        <f>VLOOKUP($E98,'2.จัดสรรหลังSK'!$E$4:$AA$98,23,FALSE)</f>
        <v>122308992.86</v>
      </c>
      <c r="AD98" s="108">
        <f>VLOOKUP($E98,'2.จัดสรรหลังSK'!$E$4:$AB$98,24,FALSE)</f>
        <v>115871677.44</v>
      </c>
      <c r="AE98" s="108">
        <f t="shared" si="24"/>
        <v>0</v>
      </c>
      <c r="AF98" s="108">
        <f t="shared" si="25"/>
        <v>6437315.4199999999</v>
      </c>
      <c r="AG98" s="159" t="str">
        <f t="shared" si="26"/>
        <v>ผ่าน</v>
      </c>
      <c r="AH98" s="108">
        <f t="shared" si="40"/>
        <v>122308992.86</v>
      </c>
      <c r="AI98" s="112"/>
      <c r="AJ98" s="108">
        <f t="shared" si="27"/>
        <v>122308992.86</v>
      </c>
      <c r="AK98" s="112"/>
      <c r="AL98" s="112"/>
      <c r="AM98" s="108">
        <f t="shared" si="28"/>
        <v>0</v>
      </c>
      <c r="AN98" s="108">
        <f t="shared" si="29"/>
        <v>122308992.86</v>
      </c>
      <c r="AO98" s="108">
        <f t="shared" si="30"/>
        <v>122308992.86</v>
      </c>
    </row>
    <row r="99" spans="1:41" ht="14.25" customHeight="1" outlineLevel="2">
      <c r="A99" s="92">
        <v>576</v>
      </c>
      <c r="B99" s="60" t="s">
        <v>26</v>
      </c>
      <c r="C99" s="60" t="s">
        <v>191</v>
      </c>
      <c r="D99" s="60" t="s">
        <v>192</v>
      </c>
      <c r="E99" s="60" t="s">
        <v>195</v>
      </c>
      <c r="F99" s="60" t="s">
        <v>196</v>
      </c>
      <c r="G99" s="93">
        <v>1.2</v>
      </c>
      <c r="H99" s="71"/>
      <c r="I99" s="65">
        <f t="shared" si="19"/>
        <v>1.2</v>
      </c>
      <c r="J99" s="94">
        <f>VLOOKUP($E99,'2.จัดสรรหลังSK'!$E$4:$H$98,4,FALSE)</f>
        <v>40006</v>
      </c>
      <c r="K99" s="8">
        <f>IF($I$1=1,VLOOKUP($E99,'2.จัดสรรหลังSK'!$E$4:$AA$98,5,FALSE),VLOOKUP($E99,Step!$E$5:$AG$99,23,FALSE))</f>
        <v>1340.9935612158176</v>
      </c>
      <c r="L99" s="8">
        <f>IF($I$1=1,VLOOKUP($E99,'2.จัดสรรหลังSK'!$E$4:$AA$98,6,FALSE),VLOOKUP($E99,Step!$E$5:$AG$99,28,FALSE))</f>
        <v>266.06604784282359</v>
      </c>
      <c r="M99" s="95">
        <v>924.58839999999998</v>
      </c>
      <c r="N99" s="95">
        <v>14.5588</v>
      </c>
      <c r="O99" s="95">
        <v>0</v>
      </c>
      <c r="P99" s="95">
        <v>0</v>
      </c>
      <c r="Q99" s="93">
        <f t="shared" si="20"/>
        <v>7038.3311424701133</v>
      </c>
      <c r="R99" s="93">
        <f>IF($I$1=1,VLOOKUP($E99,'2.จัดสรรหลังSK'!$E$4:$AA$98,12,FALSE),VLOOKUP($E99,Step!$E$5:$AG$99,24,FALSE))</f>
        <v>53647788.409999996</v>
      </c>
      <c r="S99" s="93">
        <f>IF($I$1=1,VLOOKUP($E99,'2.จัดสรรหลังSK'!$E$4:$AA$98,13,FALSE),VLOOKUP($E99,Step!$E$5:$AG$99,29,FALSE))</f>
        <v>10644238.310000001</v>
      </c>
      <c r="T99" s="65">
        <f>IF($H$111&lt;&gt;0,ROUND(ROUND(M99*I99,4)*Q99,2),VLOOKUP($E99,'2.จัดสรรหลังSK'!$E$4:$R$98,14,FALSE))</f>
        <v>7809071.3300000001</v>
      </c>
      <c r="U99" s="93">
        <f>VLOOKUP($E99,'2.จัดสรรหลังSK'!$E$4:$S$98,15,FALSE)</f>
        <v>139764.48000000001</v>
      </c>
      <c r="V99" s="93">
        <f>VLOOKUP($E99,'2.จัดสรรหลังSK'!$E$4:$T$98,16,FALSE)</f>
        <v>0</v>
      </c>
      <c r="W99" s="93">
        <f>VLOOKUP($E99,'2.จัดสรรหลังSK'!$E$4:$U$98,17,FALSE)</f>
        <v>0</v>
      </c>
      <c r="X99" s="8">
        <f t="shared" si="21"/>
        <v>72240862.530000001</v>
      </c>
      <c r="Y99" s="8">
        <f>VLOOKUP($E99,'2.จัดสรรหลังSK'!$E$4:$W$98,19,FALSE)</f>
        <v>30782885</v>
      </c>
      <c r="Z99" s="93">
        <f t="shared" si="22"/>
        <v>41457977.530000001</v>
      </c>
      <c r="AA99" s="66">
        <v>0</v>
      </c>
      <c r="AB99" s="96">
        <f t="shared" si="23"/>
        <v>41457977.530000001</v>
      </c>
      <c r="AC99" s="8">
        <f>VLOOKUP($E99,'2.จัดสรรหลังSK'!$E$4:$AA$98,23,FALSE)</f>
        <v>36733685.520000003</v>
      </c>
      <c r="AD99" s="8">
        <f>VLOOKUP($E99,'2.จัดสรรหลังSK'!$E$4:$AB$98,24,FALSE)</f>
        <v>34800333.649999999</v>
      </c>
      <c r="AE99" s="8">
        <f t="shared" si="24"/>
        <v>4724292.01</v>
      </c>
      <c r="AF99" s="8">
        <f t="shared" si="25"/>
        <v>6657643.8799999999</v>
      </c>
      <c r="AG99" s="97" t="str">
        <f t="shared" si="26"/>
        <v>ผ่าน</v>
      </c>
      <c r="AH99" s="8">
        <f t="shared" si="40"/>
        <v>36733685.520000003</v>
      </c>
      <c r="AI99" s="98"/>
      <c r="AJ99" s="8">
        <f t="shared" si="27"/>
        <v>41457977.530000001</v>
      </c>
      <c r="AK99" s="98"/>
      <c r="AL99" s="98"/>
      <c r="AM99" s="8">
        <f t="shared" si="28"/>
        <v>0</v>
      </c>
      <c r="AN99" s="8">
        <f t="shared" si="29"/>
        <v>41457977.530000001</v>
      </c>
      <c r="AO99" s="8">
        <f t="shared" si="30"/>
        <v>41457977.530000001</v>
      </c>
    </row>
    <row r="100" spans="1:41" ht="14.25" customHeight="1" outlineLevel="2">
      <c r="A100" s="92">
        <v>577</v>
      </c>
      <c r="B100" s="60" t="s">
        <v>26</v>
      </c>
      <c r="C100" s="60" t="s">
        <v>191</v>
      </c>
      <c r="D100" s="60" t="s">
        <v>192</v>
      </c>
      <c r="E100" s="60" t="s">
        <v>197</v>
      </c>
      <c r="F100" s="60" t="s">
        <v>198</v>
      </c>
      <c r="G100" s="93">
        <v>1.2</v>
      </c>
      <c r="H100" s="71"/>
      <c r="I100" s="65">
        <f t="shared" si="19"/>
        <v>1.2</v>
      </c>
      <c r="J100" s="94">
        <f>VLOOKUP($E100,'2.จัดสรรหลังSK'!$E$4:$H$98,4,FALSE)</f>
        <v>44954</v>
      </c>
      <c r="K100" s="8">
        <f>IF($I$1=1,VLOOKUP($E100,'2.จัดสรรหลังSK'!$E$4:$AA$98,5,FALSE),VLOOKUP($E100,Step!$E$5:$AG$99,23,FALSE))</f>
        <v>1299.8634255016239</v>
      </c>
      <c r="L100" s="8">
        <f>IF($I$1=1,VLOOKUP($E100,'2.จัดสรรหลังSK'!$E$4:$AA$98,6,FALSE),VLOOKUP($E100,Step!$E$5:$AG$99,28,FALSE))</f>
        <v>257.90543288695113</v>
      </c>
      <c r="M100" s="95">
        <v>1245.3439000000001</v>
      </c>
      <c r="N100" s="95">
        <v>28.5381</v>
      </c>
      <c r="O100" s="95">
        <v>0</v>
      </c>
      <c r="P100" s="95">
        <v>0</v>
      </c>
      <c r="Q100" s="93">
        <f t="shared" si="20"/>
        <v>7038.3311424701133</v>
      </c>
      <c r="R100" s="93">
        <f>IF($I$1=1,VLOOKUP($E100,'2.จัดสรรหลังSK'!$E$4:$AA$98,12,FALSE),VLOOKUP($E100,Step!$E$5:$AG$99,24,FALSE))</f>
        <v>58434060.43</v>
      </c>
      <c r="S100" s="93">
        <f>IF($I$1=1,VLOOKUP($E100,'2.จัดสรรหลังSK'!$E$4:$AA$98,13,FALSE),VLOOKUP($E100,Step!$E$5:$AG$99,29,FALSE))</f>
        <v>11593880.83</v>
      </c>
      <c r="T100" s="65">
        <f>IF($H$111&lt;&gt;0,ROUND(ROUND(M100*I100,4)*Q100,2),VLOOKUP($E100,'2.จัดสรรหลังSK'!$E$4:$R$98,14,FALSE))</f>
        <v>10518171.439999999</v>
      </c>
      <c r="U100" s="93">
        <f>VLOOKUP($E100,'2.จัดสรรหลังSK'!$E$4:$S$98,15,FALSE)</f>
        <v>273965.76</v>
      </c>
      <c r="V100" s="93">
        <f>VLOOKUP($E100,'2.จัดสรรหลังSK'!$E$4:$T$98,16,FALSE)</f>
        <v>0</v>
      </c>
      <c r="W100" s="93">
        <f>VLOOKUP($E100,'2.จัดสรรหลังSK'!$E$4:$U$98,17,FALSE)</f>
        <v>0</v>
      </c>
      <c r="X100" s="8">
        <f t="shared" si="21"/>
        <v>80820078.460000008</v>
      </c>
      <c r="Y100" s="8">
        <f>VLOOKUP($E100,'2.จัดสรรหลังSK'!$E$4:$W$98,19,FALSE)</f>
        <v>40255932</v>
      </c>
      <c r="Z100" s="93">
        <f t="shared" si="22"/>
        <v>40564146.460000001</v>
      </c>
      <c r="AA100" s="66">
        <v>0</v>
      </c>
      <c r="AB100" s="96">
        <f t="shared" si="23"/>
        <v>40564146.460000001</v>
      </c>
      <c r="AC100" s="8">
        <f>VLOOKUP($E100,'2.จัดสรรหลังSK'!$E$4:$AA$98,23,FALSE)</f>
        <v>33113364.989999998</v>
      </c>
      <c r="AD100" s="8">
        <f>VLOOKUP($E100,'2.จัดสรรหลังSK'!$E$4:$AB$98,24,FALSE)</f>
        <v>31370556.300000001</v>
      </c>
      <c r="AE100" s="8">
        <f t="shared" si="24"/>
        <v>7450781.4699999997</v>
      </c>
      <c r="AF100" s="8">
        <f t="shared" si="25"/>
        <v>9193590.1600000001</v>
      </c>
      <c r="AG100" s="97" t="str">
        <f t="shared" si="26"/>
        <v>ผ่าน</v>
      </c>
      <c r="AH100" s="8">
        <f t="shared" si="40"/>
        <v>33113364.989999998</v>
      </c>
      <c r="AI100" s="98"/>
      <c r="AJ100" s="8">
        <f t="shared" si="27"/>
        <v>40564146.460000001</v>
      </c>
      <c r="AK100" s="98"/>
      <c r="AL100" s="98"/>
      <c r="AM100" s="8">
        <f t="shared" si="28"/>
        <v>0</v>
      </c>
      <c r="AN100" s="8">
        <f t="shared" si="29"/>
        <v>40564146.460000001</v>
      </c>
      <c r="AO100" s="8">
        <f t="shared" si="30"/>
        <v>40564146.460000001</v>
      </c>
    </row>
    <row r="101" spans="1:41" ht="14.25" customHeight="1" outlineLevel="2">
      <c r="A101" s="92">
        <v>578</v>
      </c>
      <c r="B101" s="60" t="s">
        <v>26</v>
      </c>
      <c r="C101" s="60" t="s">
        <v>191</v>
      </c>
      <c r="D101" s="60" t="s">
        <v>192</v>
      </c>
      <c r="E101" s="60" t="s">
        <v>199</v>
      </c>
      <c r="F101" s="60" t="s">
        <v>200</v>
      </c>
      <c r="G101" s="93">
        <v>1.3</v>
      </c>
      <c r="H101" s="71"/>
      <c r="I101" s="65">
        <f t="shared" ref="I101:I109" si="43">IF(H101&lt;&gt;"",ROUND(H101,2),G101)</f>
        <v>1.3</v>
      </c>
      <c r="J101" s="94">
        <f>VLOOKUP($E101,'2.จัดสรรหลังSK'!$E$4:$H$98,4,FALSE)</f>
        <v>27242</v>
      </c>
      <c r="K101" s="8">
        <f>IF($I$1=1,VLOOKUP($E101,'2.จัดสรรหลังSK'!$E$4:$AA$98,5,FALSE),VLOOKUP($E101,Step!$E$5:$AG$99,23,FALSE))</f>
        <v>1457.0888077233683</v>
      </c>
      <c r="L101" s="8">
        <f>IF($I$1=1,VLOOKUP($E101,'2.จัดสรรหลังSK'!$E$4:$AA$98,6,FALSE),VLOOKUP($E101,Step!$E$5:$AG$99,28,FALSE))</f>
        <v>289.10046398942808</v>
      </c>
      <c r="M101" s="95">
        <v>1291.7336</v>
      </c>
      <c r="N101" s="95">
        <v>36.531300000000002</v>
      </c>
      <c r="O101" s="95">
        <v>0</v>
      </c>
      <c r="P101" s="95">
        <v>0</v>
      </c>
      <c r="Q101" s="93">
        <f t="shared" ref="Q101:Q109" si="44">$Q$13</f>
        <v>7038.3311424701133</v>
      </c>
      <c r="R101" s="93">
        <f>IF($I$1=1,VLOOKUP($E101,'2.จัดสรรหลังSK'!$E$4:$AA$98,12,FALSE),VLOOKUP($E101,Step!$E$5:$AG$99,24,FALSE))</f>
        <v>39694013.299999997</v>
      </c>
      <c r="S101" s="93">
        <f>IF($I$1=1,VLOOKUP($E101,'2.จัดสรรหลังSK'!$E$4:$AA$98,13,FALSE),VLOOKUP($E101,Step!$E$5:$AG$99,29,FALSE))</f>
        <v>7875674.8399999999</v>
      </c>
      <c r="T101" s="65">
        <f>IF($H$111&lt;&gt;0,ROUND(ROUND(M101*I101,4)*Q101,2),VLOOKUP($E101,'2.จัดสรรหลังSK'!$E$4:$R$98,14,FALSE))</f>
        <v>11819143.609999999</v>
      </c>
      <c r="U101" s="93">
        <f>VLOOKUP($E101,'2.จัดสรรหลังSK'!$E$4:$S$98,15,FALSE)</f>
        <v>350700.48</v>
      </c>
      <c r="V101" s="93">
        <f>VLOOKUP($E101,'2.จัดสรรหลังSK'!$E$4:$T$98,16,FALSE)</f>
        <v>0</v>
      </c>
      <c r="W101" s="93">
        <f>VLOOKUP($E101,'2.จัดสรรหลังSK'!$E$4:$U$98,17,FALSE)</f>
        <v>0</v>
      </c>
      <c r="X101" s="8">
        <f t="shared" ref="X101:X109" si="45">SUM(R101:W101)</f>
        <v>59739532.229999997</v>
      </c>
      <c r="Y101" s="8">
        <f>VLOOKUP($E101,'2.จัดสรรหลังSK'!$E$4:$W$98,19,FALSE)</f>
        <v>30947160</v>
      </c>
      <c r="Z101" s="93">
        <f t="shared" ref="Z101:Z109" si="46">ROUND(X101-Y101,2)</f>
        <v>28792372.23</v>
      </c>
      <c r="AA101" s="66">
        <v>0</v>
      </c>
      <c r="AB101" s="96">
        <f t="shared" ref="AB101:AB109" si="47">ROUND(Z101+AA101,2)</f>
        <v>28792372.23</v>
      </c>
      <c r="AC101" s="8">
        <f>VLOOKUP($E101,'2.จัดสรรหลังSK'!$E$4:$AA$98,23,FALSE)</f>
        <v>23266270.52</v>
      </c>
      <c r="AD101" s="8">
        <f>VLOOKUP($E101,'2.จัดสรรหลังSK'!$E$4:$AB$98,24,FALSE)</f>
        <v>22041729.960000001</v>
      </c>
      <c r="AE101" s="8">
        <f t="shared" ref="AE101:AE109" si="48">ROUND(AB101-AC101,2)</f>
        <v>5526101.71</v>
      </c>
      <c r="AF101" s="8">
        <f t="shared" ref="AF101:AF109" si="49">ROUND(AB101-AD101,2)</f>
        <v>6750642.2699999996</v>
      </c>
      <c r="AG101" s="97" t="str">
        <f t="shared" ref="AG101:AG109" si="50">IF(AB101&gt;=AD101,"ผ่าน","ไม่ผ่าน")</f>
        <v>ผ่าน</v>
      </c>
      <c r="AH101" s="8">
        <f t="shared" si="40"/>
        <v>23266270.52</v>
      </c>
      <c r="AI101" s="98"/>
      <c r="AJ101" s="8">
        <f t="shared" ref="AJ101:AJ109" si="51">ROUND(AB101+AI101,2)</f>
        <v>28792372.23</v>
      </c>
      <c r="AK101" s="98"/>
      <c r="AL101" s="98"/>
      <c r="AM101" s="8">
        <f t="shared" ref="AM101:AM109" si="52">ROUND(AK101+AL101,2)</f>
        <v>0</v>
      </c>
      <c r="AN101" s="8">
        <f t="shared" ref="AN101:AN109" si="53">ROUND(AB101-AM101,2)</f>
        <v>28792372.23</v>
      </c>
      <c r="AO101" s="8">
        <f t="shared" ref="AO101:AO109" si="54">ROUND(AJ101-AM101,2)</f>
        <v>28792372.23</v>
      </c>
    </row>
    <row r="102" spans="1:41" ht="14.25" customHeight="1" outlineLevel="2">
      <c r="A102" s="92">
        <v>579</v>
      </c>
      <c r="B102" s="60" t="s">
        <v>26</v>
      </c>
      <c r="C102" s="60" t="s">
        <v>191</v>
      </c>
      <c r="D102" s="60" t="s">
        <v>192</v>
      </c>
      <c r="E102" s="60" t="s">
        <v>201</v>
      </c>
      <c r="F102" s="60" t="s">
        <v>202</v>
      </c>
      <c r="G102" s="93">
        <v>1.35</v>
      </c>
      <c r="H102" s="71"/>
      <c r="I102" s="65">
        <f t="shared" si="43"/>
        <v>1.35</v>
      </c>
      <c r="J102" s="94">
        <f>VLOOKUP($E102,'2.จัดสรรหลังSK'!$E$4:$H$98,4,FALSE)</f>
        <v>17875</v>
      </c>
      <c r="K102" s="8">
        <f>IF($I$1=1,VLOOKUP($E102,'2.จัดสรรหลังSK'!$E$4:$AA$98,5,FALSE),VLOOKUP($E102,Step!$E$5:$AG$99,23,FALSE))</f>
        <v>1554.5905868531468</v>
      </c>
      <c r="L102" s="8">
        <f>IF($I$1=1,VLOOKUP($E102,'2.จัดสรรหลังSK'!$E$4:$AA$98,6,FALSE),VLOOKUP($E102,Step!$E$5:$AG$99,28,FALSE))</f>
        <v>308.44575664335667</v>
      </c>
      <c r="M102" s="95">
        <v>848.11040000000003</v>
      </c>
      <c r="N102" s="95">
        <v>8.4916999999999998</v>
      </c>
      <c r="O102" s="95">
        <v>0</v>
      </c>
      <c r="P102" s="95">
        <v>0</v>
      </c>
      <c r="Q102" s="93">
        <f t="shared" si="44"/>
        <v>7038.3311424701133</v>
      </c>
      <c r="R102" s="93">
        <f>IF($I$1=1,VLOOKUP($E102,'2.จัดสรรหลังSK'!$E$4:$AA$98,12,FALSE),VLOOKUP($E102,Step!$E$5:$AG$99,24,FALSE))</f>
        <v>27788306.739999998</v>
      </c>
      <c r="S102" s="93">
        <f>IF($I$1=1,VLOOKUP($E102,'2.จัดสรรหลังSK'!$E$4:$AA$98,13,FALSE),VLOOKUP($E102,Step!$E$5:$AG$99,29,FALSE))</f>
        <v>5513467.9000000004</v>
      </c>
      <c r="T102" s="65">
        <f>IF($H$111&lt;&gt;0,ROUND(ROUND(M102*I102,4)*Q102,2),VLOOKUP($E102,'2.จัดสรรหลังSK'!$E$4:$R$98,14,FALSE))</f>
        <v>8058530.2000000002</v>
      </c>
      <c r="U102" s="93">
        <f>VLOOKUP($E102,'2.จัดสรรหลังSK'!$E$4:$S$98,15,FALSE)</f>
        <v>81520.320000000007</v>
      </c>
      <c r="V102" s="93">
        <f>VLOOKUP($E102,'2.จัดสรรหลังSK'!$E$4:$T$98,16,FALSE)</f>
        <v>0</v>
      </c>
      <c r="W102" s="93">
        <f>VLOOKUP($E102,'2.จัดสรรหลังSK'!$E$4:$U$98,17,FALSE)</f>
        <v>0</v>
      </c>
      <c r="X102" s="8">
        <f t="shared" si="45"/>
        <v>41441825.160000004</v>
      </c>
      <c r="Y102" s="8">
        <f>VLOOKUP($E102,'2.จัดสรรหลังSK'!$E$4:$W$98,19,FALSE)</f>
        <v>18347981</v>
      </c>
      <c r="Z102" s="93">
        <f t="shared" si="46"/>
        <v>23093844.16</v>
      </c>
      <c r="AA102" s="66">
        <v>0</v>
      </c>
      <c r="AB102" s="96">
        <f t="shared" si="47"/>
        <v>23093844.16</v>
      </c>
      <c r="AC102" s="8">
        <f>VLOOKUP($E102,'2.จัดสรรหลังSK'!$E$4:$AA$98,23,FALSE)</f>
        <v>20779592.16</v>
      </c>
      <c r="AD102" s="8">
        <f>VLOOKUP($E102,'2.จัดสรรหลังSK'!$E$4:$AB$98,24,FALSE)</f>
        <v>19685929.420000002</v>
      </c>
      <c r="AE102" s="8">
        <f t="shared" si="48"/>
        <v>2314252</v>
      </c>
      <c r="AF102" s="8">
        <f t="shared" si="49"/>
        <v>3407914.74</v>
      </c>
      <c r="AG102" s="97" t="str">
        <f t="shared" si="50"/>
        <v>ผ่าน</v>
      </c>
      <c r="AH102" s="8">
        <f t="shared" si="40"/>
        <v>20779592.16</v>
      </c>
      <c r="AI102" s="98"/>
      <c r="AJ102" s="8">
        <f t="shared" si="51"/>
        <v>23093844.16</v>
      </c>
      <c r="AK102" s="98"/>
      <c r="AL102" s="98"/>
      <c r="AM102" s="8">
        <f t="shared" si="52"/>
        <v>0</v>
      </c>
      <c r="AN102" s="8">
        <f t="shared" si="53"/>
        <v>23093844.16</v>
      </c>
      <c r="AO102" s="8">
        <f t="shared" si="54"/>
        <v>23093844.16</v>
      </c>
    </row>
    <row r="103" spans="1:41" ht="14.25" customHeight="1" outlineLevel="2">
      <c r="A103" s="92">
        <v>580</v>
      </c>
      <c r="B103" s="60" t="s">
        <v>26</v>
      </c>
      <c r="C103" s="60" t="s">
        <v>191</v>
      </c>
      <c r="D103" s="60" t="s">
        <v>192</v>
      </c>
      <c r="E103" s="60" t="s">
        <v>203</v>
      </c>
      <c r="F103" s="60" t="s">
        <v>204</v>
      </c>
      <c r="G103" s="93">
        <v>1.25</v>
      </c>
      <c r="H103" s="71"/>
      <c r="I103" s="65">
        <f t="shared" si="43"/>
        <v>1.25</v>
      </c>
      <c r="J103" s="94">
        <f>VLOOKUP($E103,'2.จัดสรรหลังSK'!$E$4:$H$98,4,FALSE)</f>
        <v>32984</v>
      </c>
      <c r="K103" s="8">
        <f>IF($I$1=1,VLOOKUP($E103,'2.จัดสรรหลังSK'!$E$4:$AA$98,5,FALSE),VLOOKUP($E103,Step!$E$5:$AG$99,23,FALSE))</f>
        <v>1401.8413597501817</v>
      </c>
      <c r="L103" s="8">
        <f>IF($I$1=1,VLOOKUP($E103,'2.จัดสรรหลังSK'!$E$4:$AA$98,6,FALSE),VLOOKUP($E103,Step!$E$5:$AG$99,28,FALSE))</f>
        <v>278.13883761823917</v>
      </c>
      <c r="M103" s="95">
        <v>1584.6184000000001</v>
      </c>
      <c r="N103" s="95">
        <v>27.335699999999999</v>
      </c>
      <c r="O103" s="95">
        <v>0</v>
      </c>
      <c r="P103" s="95">
        <v>0</v>
      </c>
      <c r="Q103" s="93">
        <f t="shared" si="44"/>
        <v>7038.3311424701133</v>
      </c>
      <c r="R103" s="93">
        <f>IF($I$1=1,VLOOKUP($E103,'2.จัดสรรหลังSK'!$E$4:$AA$98,12,FALSE),VLOOKUP($E103,Step!$E$5:$AG$99,24,FALSE))</f>
        <v>46238335.409999996</v>
      </c>
      <c r="S103" s="93">
        <f>IF($I$1=1,VLOOKUP($E103,'2.จัดสรรหลังSK'!$E$4:$AA$98,13,FALSE),VLOOKUP($E103,Step!$E$5:$AG$99,29,FALSE))</f>
        <v>9174131.4199999999</v>
      </c>
      <c r="T103" s="65">
        <f>IF($H$111&lt;&gt;0,ROUND(ROUND(M103*I103,4)*Q103,2),VLOOKUP($E103,'2.จัดสรรหลังSK'!$E$4:$R$98,14,FALSE))</f>
        <v>13941336.289999999</v>
      </c>
      <c r="U103" s="93">
        <f>VLOOKUP($E103,'2.จัดสรรหลังSK'!$E$4:$S$98,15,FALSE)</f>
        <v>262422.71999999997</v>
      </c>
      <c r="V103" s="93">
        <f>VLOOKUP($E103,'2.จัดสรรหลังSK'!$E$4:$T$98,16,FALSE)</f>
        <v>0</v>
      </c>
      <c r="W103" s="93">
        <f>VLOOKUP($E103,'2.จัดสรรหลังSK'!$E$4:$U$98,17,FALSE)</f>
        <v>0</v>
      </c>
      <c r="X103" s="8">
        <f t="shared" si="45"/>
        <v>69616225.840000004</v>
      </c>
      <c r="Y103" s="8">
        <f>VLOOKUP($E103,'2.จัดสรรหลังSK'!$E$4:$W$98,19,FALSE)</f>
        <v>42685695</v>
      </c>
      <c r="Z103" s="93">
        <f t="shared" si="46"/>
        <v>26930530.84</v>
      </c>
      <c r="AA103" s="66">
        <v>0</v>
      </c>
      <c r="AB103" s="96">
        <f t="shared" si="47"/>
        <v>26930530.84</v>
      </c>
      <c r="AC103" s="8">
        <f>VLOOKUP($E103,'2.จัดสรรหลังSK'!$E$4:$AA$98,23,FALSE)</f>
        <v>22167398.710000001</v>
      </c>
      <c r="AD103" s="8">
        <f>VLOOKUP($E103,'2.จัดสรรหลังSK'!$E$4:$AB$98,24,FALSE)</f>
        <v>21000693.510000002</v>
      </c>
      <c r="AE103" s="8">
        <f t="shared" si="48"/>
        <v>4763132.13</v>
      </c>
      <c r="AF103" s="8">
        <f t="shared" si="49"/>
        <v>5929837.3300000001</v>
      </c>
      <c r="AG103" s="97" t="str">
        <f t="shared" si="50"/>
        <v>ผ่าน</v>
      </c>
      <c r="AH103" s="8">
        <f t="shared" si="40"/>
        <v>22167398.710000001</v>
      </c>
      <c r="AI103" s="98"/>
      <c r="AJ103" s="8">
        <f t="shared" si="51"/>
        <v>26930530.84</v>
      </c>
      <c r="AK103" s="98"/>
      <c r="AL103" s="98"/>
      <c r="AM103" s="8">
        <f t="shared" si="52"/>
        <v>0</v>
      </c>
      <c r="AN103" s="8">
        <f t="shared" si="53"/>
        <v>26930530.84</v>
      </c>
      <c r="AO103" s="8">
        <f t="shared" si="54"/>
        <v>26930530.84</v>
      </c>
    </row>
    <row r="104" spans="1:41" ht="14.25" customHeight="1" outlineLevel="2">
      <c r="A104" s="92">
        <v>581</v>
      </c>
      <c r="B104" s="60" t="s">
        <v>26</v>
      </c>
      <c r="C104" s="60" t="s">
        <v>191</v>
      </c>
      <c r="D104" s="60" t="s">
        <v>192</v>
      </c>
      <c r="E104" s="60" t="s">
        <v>205</v>
      </c>
      <c r="F104" s="60" t="s">
        <v>206</v>
      </c>
      <c r="G104" s="93">
        <v>1.1499999999999999</v>
      </c>
      <c r="H104" s="71"/>
      <c r="I104" s="65">
        <f t="shared" si="43"/>
        <v>1.1499999999999999</v>
      </c>
      <c r="J104" s="94">
        <f>VLOOKUP($E104,'2.จัดสรรหลังSK'!$E$4:$H$98,4,FALSE)</f>
        <v>55230</v>
      </c>
      <c r="K104" s="8">
        <f>IF($I$1=1,VLOOKUP($E104,'2.จัดสรรหลังSK'!$E$4:$AA$98,5,FALSE),VLOOKUP($E104,Step!$E$5:$AG$99,23,FALSE))</f>
        <v>1229.6626818757923</v>
      </c>
      <c r="L104" s="8">
        <f>IF($I$1=1,VLOOKUP($E104,'2.จัดสรรหลังSK'!$E$4:$AA$98,6,FALSE),VLOOKUP($E104,Step!$E$5:$AG$99,28,FALSE))</f>
        <v>243.97692848089807</v>
      </c>
      <c r="M104" s="95">
        <v>1882.6287</v>
      </c>
      <c r="N104" s="95">
        <v>43.42</v>
      </c>
      <c r="O104" s="95">
        <v>0</v>
      </c>
      <c r="P104" s="95">
        <v>0</v>
      </c>
      <c r="Q104" s="93">
        <f t="shared" si="44"/>
        <v>7038.3311424701133</v>
      </c>
      <c r="R104" s="93">
        <f>IF($I$1=1,VLOOKUP($E104,'2.จัดสรรหลังSK'!$E$4:$AA$98,12,FALSE),VLOOKUP($E104,Step!$E$5:$AG$99,24,FALSE))</f>
        <v>67914269.920000002</v>
      </c>
      <c r="S104" s="93">
        <f>IF($I$1=1,VLOOKUP($E104,'2.จัดสรรหลังSK'!$E$4:$AA$98,13,FALSE),VLOOKUP($E104,Step!$E$5:$AG$99,29,FALSE))</f>
        <v>13474845.76</v>
      </c>
      <c r="T104" s="65">
        <f>IF($H$111&lt;&gt;0,ROUND(ROUND(M104*I104,4)*Q104,2),VLOOKUP($E104,'2.จัดสรรหลังSK'!$E$4:$R$98,14,FALSE))</f>
        <v>15238148.800000001</v>
      </c>
      <c r="U104" s="93">
        <f>VLOOKUP($E104,'2.จัดสรรหลังSK'!$E$4:$S$98,15,FALSE)</f>
        <v>416832</v>
      </c>
      <c r="V104" s="93">
        <f>VLOOKUP($E104,'2.จัดสรรหลังSK'!$E$4:$T$98,16,FALSE)</f>
        <v>0</v>
      </c>
      <c r="W104" s="93">
        <f>VLOOKUP($E104,'2.จัดสรรหลังSK'!$E$4:$U$98,17,FALSE)</f>
        <v>0</v>
      </c>
      <c r="X104" s="8">
        <f t="shared" si="45"/>
        <v>97044096.480000004</v>
      </c>
      <c r="Y104" s="8">
        <f>VLOOKUP($E104,'2.จัดสรรหลังSK'!$E$4:$W$98,19,FALSE)</f>
        <v>49935934</v>
      </c>
      <c r="Z104" s="93">
        <f t="shared" si="46"/>
        <v>47108162.479999997</v>
      </c>
      <c r="AA104" s="66">
        <v>0</v>
      </c>
      <c r="AB104" s="96">
        <f t="shared" si="47"/>
        <v>47108162.479999997</v>
      </c>
      <c r="AC104" s="8">
        <f>VLOOKUP($E104,'2.จัดสรรหลังSK'!$E$4:$AA$98,23,FALSE)</f>
        <v>43055752.189999998</v>
      </c>
      <c r="AD104" s="8">
        <f>VLOOKUP($E104,'2.จัดสรรหลังSK'!$E$4:$AB$98,24,FALSE)</f>
        <v>40789659.969999999</v>
      </c>
      <c r="AE104" s="8">
        <f t="shared" si="48"/>
        <v>4052410.29</v>
      </c>
      <c r="AF104" s="8">
        <f t="shared" si="49"/>
        <v>6318502.5099999998</v>
      </c>
      <c r="AG104" s="97" t="str">
        <f t="shared" si="50"/>
        <v>ผ่าน</v>
      </c>
      <c r="AH104" s="8">
        <f t="shared" si="40"/>
        <v>43055752.189999998</v>
      </c>
      <c r="AI104" s="98"/>
      <c r="AJ104" s="8">
        <f t="shared" si="51"/>
        <v>47108162.479999997</v>
      </c>
      <c r="AK104" s="98"/>
      <c r="AL104" s="98"/>
      <c r="AM104" s="8">
        <f t="shared" si="52"/>
        <v>0</v>
      </c>
      <c r="AN104" s="8">
        <f t="shared" si="53"/>
        <v>47108162.479999997</v>
      </c>
      <c r="AO104" s="8">
        <f t="shared" si="54"/>
        <v>47108162.479999997</v>
      </c>
    </row>
    <row r="105" spans="1:41" ht="14.25" customHeight="1" outlineLevel="2">
      <c r="A105" s="92">
        <v>582</v>
      </c>
      <c r="B105" s="60" t="s">
        <v>26</v>
      </c>
      <c r="C105" s="60" t="s">
        <v>191</v>
      </c>
      <c r="D105" s="60" t="s">
        <v>192</v>
      </c>
      <c r="E105" s="60" t="s">
        <v>207</v>
      </c>
      <c r="F105" s="60" t="s">
        <v>208</v>
      </c>
      <c r="G105" s="93">
        <v>1.1499999999999999</v>
      </c>
      <c r="H105" s="71"/>
      <c r="I105" s="65">
        <f t="shared" si="43"/>
        <v>1.1499999999999999</v>
      </c>
      <c r="J105" s="94">
        <f>VLOOKUP($E105,'2.จัดสรรหลังSK'!$E$4:$H$98,4,FALSE)</f>
        <v>53839</v>
      </c>
      <c r="K105" s="8">
        <f>IF($I$1=1,VLOOKUP($E105,'2.จัดสรรหลังSK'!$E$4:$AA$98,5,FALSE),VLOOKUP($E105,Step!$E$5:$AG$99,23,FALSE))</f>
        <v>1238.7127693679304</v>
      </c>
      <c r="L105" s="8">
        <f>IF($I$1=1,VLOOKUP($E105,'2.จัดสรรหลังSK'!$E$4:$AA$98,6,FALSE),VLOOKUP($E105,Step!$E$5:$AG$99,28,FALSE))</f>
        <v>245.772553167778</v>
      </c>
      <c r="M105" s="95">
        <v>3523.2865999999999</v>
      </c>
      <c r="N105" s="95">
        <v>50.103400000000001</v>
      </c>
      <c r="O105" s="95">
        <v>18.575600000000001</v>
      </c>
      <c r="P105" s="95">
        <v>0</v>
      </c>
      <c r="Q105" s="93">
        <f t="shared" si="44"/>
        <v>7038.3311424701133</v>
      </c>
      <c r="R105" s="93">
        <f>IF($I$1=1,VLOOKUP($E105,'2.จัดสรรหลังSK'!$E$4:$AA$98,12,FALSE),VLOOKUP($E105,Step!$E$5:$AG$99,24,FALSE))</f>
        <v>66691056.789999999</v>
      </c>
      <c r="S105" s="93">
        <f>IF($I$1=1,VLOOKUP($E105,'2.จัดสรรหลังSK'!$E$4:$AA$98,13,FALSE),VLOOKUP($E105,Step!$E$5:$AG$99,29,FALSE))</f>
        <v>13232148.49</v>
      </c>
      <c r="T105" s="65">
        <f>IF($H$111&lt;&gt;0,ROUND(ROUND(M105*I105,4)*Q105,2),VLOOKUP($E105,'2.จัดสรรหลังSK'!$E$4:$R$98,14,FALSE))</f>
        <v>28517766.530000001</v>
      </c>
      <c r="U105" s="93">
        <f>VLOOKUP($E105,'2.จัดสรรหลังSK'!$E$4:$S$98,15,FALSE)</f>
        <v>480992.64</v>
      </c>
      <c r="V105" s="93">
        <f>VLOOKUP($E105,'2.จัดสรรหลังSK'!$E$4:$T$98,16,FALSE)</f>
        <v>167180.4</v>
      </c>
      <c r="W105" s="93">
        <f>VLOOKUP($E105,'2.จัดสรรหลังSK'!$E$4:$U$98,17,FALSE)</f>
        <v>0</v>
      </c>
      <c r="X105" s="8">
        <f t="shared" si="45"/>
        <v>109089144.85000001</v>
      </c>
      <c r="Y105" s="8">
        <f>VLOOKUP($E105,'2.จัดสรรหลังSK'!$E$4:$W$98,19,FALSE)</f>
        <v>48470962</v>
      </c>
      <c r="Z105" s="93">
        <f t="shared" si="46"/>
        <v>60618182.850000001</v>
      </c>
      <c r="AA105" s="66">
        <v>0</v>
      </c>
      <c r="AB105" s="96">
        <f t="shared" si="47"/>
        <v>60618182.850000001</v>
      </c>
      <c r="AC105" s="8">
        <f>VLOOKUP($E105,'2.จัดสรรหลังSK'!$E$4:$AA$98,23,FALSE)</f>
        <v>55944945.049999997</v>
      </c>
      <c r="AD105" s="8">
        <f>VLOOKUP($E105,'2.จัดสรรหลังSK'!$E$4:$AB$98,24,FALSE)</f>
        <v>53000474.259999998</v>
      </c>
      <c r="AE105" s="8">
        <f t="shared" si="48"/>
        <v>4673237.8</v>
      </c>
      <c r="AF105" s="8">
        <f t="shared" si="49"/>
        <v>7617708.5899999999</v>
      </c>
      <c r="AG105" s="97" t="str">
        <f t="shared" si="50"/>
        <v>ผ่าน</v>
      </c>
      <c r="AH105" s="8">
        <f t="shared" si="40"/>
        <v>55944945.049999997</v>
      </c>
      <c r="AI105" s="98"/>
      <c r="AJ105" s="8">
        <f t="shared" si="51"/>
        <v>60618182.850000001</v>
      </c>
      <c r="AK105" s="98"/>
      <c r="AL105" s="98"/>
      <c r="AM105" s="8">
        <f t="shared" si="52"/>
        <v>0</v>
      </c>
      <c r="AN105" s="8">
        <f t="shared" si="53"/>
        <v>60618182.850000001</v>
      </c>
      <c r="AO105" s="8">
        <f t="shared" si="54"/>
        <v>60618182.850000001</v>
      </c>
    </row>
    <row r="106" spans="1:41" ht="14.25" customHeight="1" outlineLevel="2">
      <c r="A106" s="92">
        <v>583</v>
      </c>
      <c r="B106" s="60" t="s">
        <v>26</v>
      </c>
      <c r="C106" s="60" t="s">
        <v>191</v>
      </c>
      <c r="D106" s="60" t="s">
        <v>192</v>
      </c>
      <c r="E106" s="60" t="s">
        <v>209</v>
      </c>
      <c r="F106" s="60" t="s">
        <v>210</v>
      </c>
      <c r="G106" s="93">
        <v>1.25</v>
      </c>
      <c r="H106" s="71"/>
      <c r="I106" s="65">
        <f t="shared" si="43"/>
        <v>1.25</v>
      </c>
      <c r="J106" s="94">
        <f>VLOOKUP($E106,'2.จัดสรรหลังSK'!$E$4:$H$98,4,FALSE)</f>
        <v>38222</v>
      </c>
      <c r="K106" s="8">
        <f>IF($I$1=1,VLOOKUP($E106,'2.จัดสรรหลังSK'!$E$4:$AA$98,5,FALSE),VLOOKUP($E106,Step!$E$5:$AG$99,23,FALSE))</f>
        <v>1354.3442569724241</v>
      </c>
      <c r="L106" s="8">
        <f>IF($I$1=1,VLOOKUP($E106,'2.จัดสรรหลังSK'!$E$4:$AA$98,6,FALSE),VLOOKUP($E106,Step!$E$5:$AG$99,28,FALSE))</f>
        <v>268.71495499973838</v>
      </c>
      <c r="M106" s="95">
        <v>1252.1901</v>
      </c>
      <c r="N106" s="95">
        <v>23.865400000000001</v>
      </c>
      <c r="O106" s="95">
        <v>0</v>
      </c>
      <c r="P106" s="95">
        <v>0</v>
      </c>
      <c r="Q106" s="93">
        <f t="shared" si="44"/>
        <v>7038.3311424701133</v>
      </c>
      <c r="R106" s="93">
        <f>IF($I$1=1,VLOOKUP($E106,'2.จัดสรรหลังSK'!$E$4:$AA$98,12,FALSE),VLOOKUP($E106,Step!$E$5:$AG$99,24,FALSE))</f>
        <v>51765746.189999998</v>
      </c>
      <c r="S106" s="93">
        <f>IF($I$1=1,VLOOKUP($E106,'2.จัดสรรหลังSK'!$E$4:$AA$98,13,FALSE),VLOOKUP($E106,Step!$E$5:$AG$99,29,FALSE))</f>
        <v>10270823.01</v>
      </c>
      <c r="T106" s="65">
        <f>IF($H$111&lt;&gt;0,ROUND(ROUND(M106*I106,4)*Q106,2),VLOOKUP($E106,'2.จัดสรรหลังSK'!$E$4:$R$98,14,FALSE))</f>
        <v>11016660.539999999</v>
      </c>
      <c r="U106" s="93">
        <f>VLOOKUP($E106,'2.จัดสรรหลังSK'!$E$4:$S$98,15,FALSE)</f>
        <v>229107.84</v>
      </c>
      <c r="V106" s="93">
        <f>VLOOKUP($E106,'2.จัดสรรหลังSK'!$E$4:$T$98,16,FALSE)</f>
        <v>0</v>
      </c>
      <c r="W106" s="93">
        <f>VLOOKUP($E106,'2.จัดสรรหลังSK'!$E$4:$U$98,17,FALSE)</f>
        <v>0</v>
      </c>
      <c r="X106" s="8">
        <f t="shared" si="45"/>
        <v>73282337.579999998</v>
      </c>
      <c r="Y106" s="8">
        <f>VLOOKUP($E106,'2.จัดสรรหลังSK'!$E$4:$W$98,19,FALSE)</f>
        <v>30965894</v>
      </c>
      <c r="Z106" s="93">
        <f t="shared" si="46"/>
        <v>42316443.579999998</v>
      </c>
      <c r="AA106" s="66">
        <v>0</v>
      </c>
      <c r="AB106" s="96">
        <f t="shared" si="47"/>
        <v>42316443.579999998</v>
      </c>
      <c r="AC106" s="8">
        <f>VLOOKUP($E106,'2.จัดสรรหลังSK'!$E$4:$AA$98,23,FALSE)</f>
        <v>32970851.010000002</v>
      </c>
      <c r="AD106" s="8">
        <f>VLOOKUP($E106,'2.จัดสรรหลังSK'!$E$4:$AB$98,24,FALSE)</f>
        <v>31235543.059999999</v>
      </c>
      <c r="AE106" s="8">
        <f t="shared" si="48"/>
        <v>9345592.5700000003</v>
      </c>
      <c r="AF106" s="8">
        <f t="shared" si="49"/>
        <v>11080900.52</v>
      </c>
      <c r="AG106" s="97" t="str">
        <f t="shared" si="50"/>
        <v>ผ่าน</v>
      </c>
      <c r="AH106" s="8">
        <f t="shared" si="40"/>
        <v>32970851.010000002</v>
      </c>
      <c r="AI106" s="98"/>
      <c r="AJ106" s="8">
        <f t="shared" si="51"/>
        <v>42316443.579999998</v>
      </c>
      <c r="AK106" s="98"/>
      <c r="AL106" s="98"/>
      <c r="AM106" s="8">
        <f t="shared" si="52"/>
        <v>0</v>
      </c>
      <c r="AN106" s="8">
        <f t="shared" si="53"/>
        <v>42316443.579999998</v>
      </c>
      <c r="AO106" s="8">
        <f t="shared" si="54"/>
        <v>42316443.579999998</v>
      </c>
    </row>
    <row r="107" spans="1:41" ht="14.25" customHeight="1" outlineLevel="2">
      <c r="A107" s="92">
        <v>584</v>
      </c>
      <c r="B107" s="60" t="s">
        <v>26</v>
      </c>
      <c r="C107" s="60" t="s">
        <v>191</v>
      </c>
      <c r="D107" s="60" t="s">
        <v>192</v>
      </c>
      <c r="E107" s="60" t="s">
        <v>211</v>
      </c>
      <c r="F107" s="60" t="s">
        <v>212</v>
      </c>
      <c r="G107" s="93">
        <v>1.2</v>
      </c>
      <c r="H107" s="71"/>
      <c r="I107" s="65">
        <f t="shared" si="43"/>
        <v>1.2</v>
      </c>
      <c r="J107" s="94">
        <f>VLOOKUP($E107,'2.จัดสรรหลังSK'!$E$4:$H$98,4,FALSE)</f>
        <v>43811</v>
      </c>
      <c r="K107" s="8">
        <f>IF($I$1=1,VLOOKUP($E107,'2.จัดสรรหลังSK'!$E$4:$AA$98,5,FALSE),VLOOKUP($E107,Step!$E$5:$AG$99,23,FALSE))</f>
        <v>1308.5394076830021</v>
      </c>
      <c r="L107" s="8">
        <f>IF($I$1=1,VLOOKUP($E107,'2.จัดสรรหลังSK'!$E$4:$AA$98,6,FALSE),VLOOKUP($E107,Step!$E$5:$AG$99,28,FALSE))</f>
        <v>259.6268311611239</v>
      </c>
      <c r="M107" s="95">
        <v>1714.7805000000001</v>
      </c>
      <c r="N107" s="95">
        <v>23.7532</v>
      </c>
      <c r="O107" s="95">
        <v>0</v>
      </c>
      <c r="P107" s="95">
        <v>0</v>
      </c>
      <c r="Q107" s="93">
        <f t="shared" si="44"/>
        <v>7038.3311424701133</v>
      </c>
      <c r="R107" s="93">
        <f>IF($I$1=1,VLOOKUP($E107,'2.จัดสรรหลังSK'!$E$4:$AA$98,12,FALSE),VLOOKUP($E107,Step!$E$5:$AG$99,24,FALSE))</f>
        <v>57328419.990000002</v>
      </c>
      <c r="S107" s="93">
        <f>IF($I$1=1,VLOOKUP($E107,'2.จัดสรรหลังSK'!$E$4:$AA$98,13,FALSE),VLOOKUP($E107,Step!$E$5:$AG$99,29,FALSE))</f>
        <v>11374511.1</v>
      </c>
      <c r="T107" s="65">
        <f>IF($H$111&lt;&gt;0,ROUND(ROUND(M107*I107,4)*Q107,2),VLOOKUP($E107,'2.จัดสรรหลังSK'!$E$4:$R$98,14,FALSE))</f>
        <v>14483031.59</v>
      </c>
      <c r="U107" s="93">
        <f>VLOOKUP($E107,'2.จัดสรรหลังSK'!$E$4:$S$98,15,FALSE)</f>
        <v>228030.72</v>
      </c>
      <c r="V107" s="93">
        <f>VLOOKUP($E107,'2.จัดสรรหลังSK'!$E$4:$T$98,16,FALSE)</f>
        <v>0</v>
      </c>
      <c r="W107" s="93">
        <f>VLOOKUP($E107,'2.จัดสรรหลังSK'!$E$4:$U$98,17,FALSE)</f>
        <v>0</v>
      </c>
      <c r="X107" s="8">
        <f t="shared" si="45"/>
        <v>83413993.400000006</v>
      </c>
      <c r="Y107" s="8">
        <f>VLOOKUP($E107,'2.จัดสรรหลังSK'!$E$4:$W$98,19,FALSE)</f>
        <v>33158653</v>
      </c>
      <c r="Z107" s="93">
        <f t="shared" si="46"/>
        <v>50255340.399999999</v>
      </c>
      <c r="AA107" s="66">
        <v>0</v>
      </c>
      <c r="AB107" s="96">
        <f t="shared" si="47"/>
        <v>50255340.399999999</v>
      </c>
      <c r="AC107" s="8">
        <f>VLOOKUP($E107,'2.จัดสรรหลังSK'!$E$4:$AA$98,23,FALSE)</f>
        <v>41197232.990000002</v>
      </c>
      <c r="AD107" s="8">
        <f>VLOOKUP($E107,'2.จัดสรรหลังSK'!$E$4:$AB$98,24,FALSE)</f>
        <v>39028957.57</v>
      </c>
      <c r="AE107" s="8">
        <f t="shared" si="48"/>
        <v>9058107.4100000001</v>
      </c>
      <c r="AF107" s="8">
        <f t="shared" si="49"/>
        <v>11226382.83</v>
      </c>
      <c r="AG107" s="97" t="str">
        <f t="shared" si="50"/>
        <v>ผ่าน</v>
      </c>
      <c r="AH107" s="8">
        <f t="shared" si="40"/>
        <v>41197232.990000002</v>
      </c>
      <c r="AI107" s="98"/>
      <c r="AJ107" s="8">
        <f t="shared" si="51"/>
        <v>50255340.399999999</v>
      </c>
      <c r="AK107" s="98"/>
      <c r="AL107" s="98"/>
      <c r="AM107" s="8">
        <f t="shared" si="52"/>
        <v>0</v>
      </c>
      <c r="AN107" s="8">
        <f t="shared" si="53"/>
        <v>50255340.399999999</v>
      </c>
      <c r="AO107" s="8">
        <f t="shared" si="54"/>
        <v>50255340.399999999</v>
      </c>
    </row>
    <row r="108" spans="1:41" ht="14.25" customHeight="1" outlineLevel="2">
      <c r="A108" s="92">
        <v>585</v>
      </c>
      <c r="B108" s="60" t="s">
        <v>26</v>
      </c>
      <c r="C108" s="60" t="s">
        <v>191</v>
      </c>
      <c r="D108" s="60" t="s">
        <v>192</v>
      </c>
      <c r="E108" s="60" t="s">
        <v>213</v>
      </c>
      <c r="F108" s="60" t="s">
        <v>214</v>
      </c>
      <c r="G108" s="93">
        <v>1.1000000000000001</v>
      </c>
      <c r="H108" s="71"/>
      <c r="I108" s="65">
        <f t="shared" si="43"/>
        <v>1.1000000000000001</v>
      </c>
      <c r="J108" s="94">
        <f>VLOOKUP($E108,'2.จัดสรรหลังSK'!$E$4:$H$98,4,FALSE)</f>
        <v>61265</v>
      </c>
      <c r="K108" s="8">
        <f>IF($I$1=1,VLOOKUP($E108,'2.จัดสรรหลังSK'!$E$4:$AA$98,5,FALSE),VLOOKUP($E108,Step!$E$5:$AG$99,23,FALSE))</f>
        <v>1194.2493805598629</v>
      </c>
      <c r="L108" s="8">
        <f>IF($I$1=1,VLOOKUP($E108,'2.จัดสรรหลังSK'!$E$4:$AA$98,6,FALSE),VLOOKUP($E108,Step!$E$5:$AG$99,28,FALSE))</f>
        <v>236.95058810087323</v>
      </c>
      <c r="M108" s="95">
        <v>5172.192</v>
      </c>
      <c r="N108" s="95">
        <v>122.5997</v>
      </c>
      <c r="O108" s="95">
        <v>40.943100000000008</v>
      </c>
      <c r="P108" s="95">
        <v>8.3947000000000003</v>
      </c>
      <c r="Q108" s="93">
        <f t="shared" si="44"/>
        <v>7038.3311424701133</v>
      </c>
      <c r="R108" s="93">
        <f>IF($I$1=1,VLOOKUP($E108,'2.จัดสรรหลังSK'!$E$4:$AA$98,12,FALSE),VLOOKUP($E108,Step!$E$5:$AG$99,24,FALSE))</f>
        <v>73165688.299999997</v>
      </c>
      <c r="S108" s="93">
        <f>IF($I$1=1,VLOOKUP($E108,'2.จัดสรรหลังSK'!$E$4:$AA$98,13,FALSE),VLOOKUP($E108,Step!$E$5:$AG$99,29,FALSE))</f>
        <v>14516777.779999999</v>
      </c>
      <c r="T108" s="65">
        <f>IF($H$111&lt;&gt;0,ROUND(ROUND(M108*I108,4)*Q108,2),VLOOKUP($E108,'2.จัดสรรหลังSK'!$E$4:$R$98,14,FALSE))</f>
        <v>40043960.020000003</v>
      </c>
      <c r="U108" s="93">
        <f>VLOOKUP($E108,'2.จัดสรรหลังSK'!$E$4:$S$98,15,FALSE)</f>
        <v>1176957.1200000001</v>
      </c>
      <c r="V108" s="93">
        <f>VLOOKUP($E108,'2.จัดสรรหลังSK'!$E$4:$T$98,16,FALSE)</f>
        <v>368487.9</v>
      </c>
      <c r="W108" s="93">
        <f>VLOOKUP($E108,'2.จัดสรรหลังSK'!$E$4:$U$98,17,FALSE)</f>
        <v>100736.4</v>
      </c>
      <c r="X108" s="8">
        <f t="shared" si="45"/>
        <v>129372607.52000001</v>
      </c>
      <c r="Y108" s="8">
        <f>VLOOKUP($E108,'2.จัดสรรหลังSK'!$E$4:$W$98,19,FALSE)</f>
        <v>75772682</v>
      </c>
      <c r="Z108" s="93">
        <f t="shared" si="46"/>
        <v>53599925.520000003</v>
      </c>
      <c r="AA108" s="66">
        <v>0</v>
      </c>
      <c r="AB108" s="96">
        <f t="shared" si="47"/>
        <v>53599925.520000003</v>
      </c>
      <c r="AC108" s="8">
        <f>VLOOKUP($E108,'2.จัดสรรหลังSK'!$E$4:$AA$98,23,FALSE)</f>
        <v>49006859.479999997</v>
      </c>
      <c r="AD108" s="8">
        <f>VLOOKUP($E108,'2.จัดสรรหลังSK'!$E$4:$AB$98,24,FALSE)</f>
        <v>46427551.079999998</v>
      </c>
      <c r="AE108" s="8">
        <f t="shared" si="48"/>
        <v>4593066.04</v>
      </c>
      <c r="AF108" s="8">
        <f t="shared" si="49"/>
        <v>7172374.4400000004</v>
      </c>
      <c r="AG108" s="97" t="str">
        <f t="shared" si="50"/>
        <v>ผ่าน</v>
      </c>
      <c r="AH108" s="8">
        <f t="shared" si="40"/>
        <v>49006859.479999997</v>
      </c>
      <c r="AI108" s="98"/>
      <c r="AJ108" s="8">
        <f t="shared" si="51"/>
        <v>53599925.520000003</v>
      </c>
      <c r="AK108" s="98"/>
      <c r="AL108" s="98"/>
      <c r="AM108" s="8">
        <f t="shared" si="52"/>
        <v>0</v>
      </c>
      <c r="AN108" s="8">
        <f t="shared" si="53"/>
        <v>53599925.520000003</v>
      </c>
      <c r="AO108" s="8">
        <f t="shared" si="54"/>
        <v>53599925.520000003</v>
      </c>
    </row>
    <row r="109" spans="1:41" ht="14.25" customHeight="1" outlineLevel="2">
      <c r="A109" s="92">
        <v>586</v>
      </c>
      <c r="B109" s="104" t="s">
        <v>26</v>
      </c>
      <c r="C109" s="60" t="s">
        <v>191</v>
      </c>
      <c r="D109" s="104" t="s">
        <v>192</v>
      </c>
      <c r="E109" s="104" t="s">
        <v>215</v>
      </c>
      <c r="F109" s="104" t="s">
        <v>216</v>
      </c>
      <c r="G109" s="93">
        <v>1.35</v>
      </c>
      <c r="H109" s="106"/>
      <c r="I109" s="65">
        <f t="shared" si="43"/>
        <v>1.35</v>
      </c>
      <c r="J109" s="94">
        <f>VLOOKUP($E109,'2.จัดสรรหลังSK'!$E$4:$H$98,4,FALSE)</f>
        <v>11685</v>
      </c>
      <c r="K109" s="8">
        <f>IF($I$1=1,VLOOKUP($E109,'2.จัดสรรหลังSK'!$E$4:$AA$98,5,FALSE),VLOOKUP($E109,Step!$E$5:$AG$99,23,FALSE))</f>
        <v>1632.7735524176296</v>
      </c>
      <c r="L109" s="8">
        <f>IF($I$1=1,VLOOKUP($E109,'2.จัดสรรหลังSK'!$E$4:$AA$98,6,FALSE),VLOOKUP($E109,Step!$E$5:$AG$99,28,FALSE))</f>
        <v>323.95801026957639</v>
      </c>
      <c r="M109" s="95">
        <v>624.44299999999998</v>
      </c>
      <c r="N109" s="95">
        <v>7.3780999999999999</v>
      </c>
      <c r="O109" s="95">
        <v>0</v>
      </c>
      <c r="P109" s="95">
        <v>0</v>
      </c>
      <c r="Q109" s="93">
        <f t="shared" si="44"/>
        <v>7038.3311424701133</v>
      </c>
      <c r="R109" s="93">
        <f>IF($I$1=1,VLOOKUP($E109,'2.จัดสรรหลังSK'!$E$4:$AA$98,12,FALSE),VLOOKUP($E109,Step!$E$5:$AG$99,24,FALSE))</f>
        <v>19078958.960000001</v>
      </c>
      <c r="S109" s="93">
        <f>IF($I$1=1,VLOOKUP($E109,'2.จัดสรรหลังSK'!$E$4:$AA$98,13,FALSE),VLOOKUP($E109,Step!$E$5:$AG$99,29,FALSE))</f>
        <v>3785449.35</v>
      </c>
      <c r="T109" s="65">
        <f>IF($H$111&lt;&gt;0,ROUND(ROUND(M109*I109,4)*Q109,2),VLOOKUP($E109,'2.จัดสรรหลังSK'!$E$4:$R$98,14,FALSE))</f>
        <v>5933299.7800000003</v>
      </c>
      <c r="U109" s="93">
        <f>VLOOKUP($E109,'2.จัดสรรหลังSK'!$E$4:$S$98,15,FALSE)</f>
        <v>70829.759999999995</v>
      </c>
      <c r="V109" s="93">
        <f>VLOOKUP($E109,'2.จัดสรรหลังSK'!$E$4:$T$98,16,FALSE)</f>
        <v>0</v>
      </c>
      <c r="W109" s="93">
        <f>VLOOKUP($E109,'2.จัดสรรหลังSK'!$E$4:$U$98,17,FALSE)</f>
        <v>0</v>
      </c>
      <c r="X109" s="8">
        <f t="shared" si="45"/>
        <v>28868537.850000005</v>
      </c>
      <c r="Y109" s="8">
        <f>VLOOKUP($E109,'2.จัดสรรหลังSK'!$E$4:$W$98,19,FALSE)</f>
        <v>15434311</v>
      </c>
      <c r="Z109" s="93">
        <f t="shared" si="46"/>
        <v>13434226.85</v>
      </c>
      <c r="AA109" s="66">
        <v>0</v>
      </c>
      <c r="AB109" s="96">
        <f t="shared" si="47"/>
        <v>13434226.85</v>
      </c>
      <c r="AC109" s="8">
        <f>VLOOKUP($E109,'2.จัดสรรหลังSK'!$E$4:$AA$98,23,FALSE)</f>
        <v>13164675.460000001</v>
      </c>
      <c r="AD109" s="8">
        <f>VLOOKUP($E109,'2.จัดสรรหลังSK'!$E$4:$AB$98,24,FALSE)</f>
        <v>12471797.810000001</v>
      </c>
      <c r="AE109" s="8">
        <f t="shared" si="48"/>
        <v>269551.39</v>
      </c>
      <c r="AF109" s="8">
        <f t="shared" si="49"/>
        <v>962429.04</v>
      </c>
      <c r="AG109" s="97" t="str">
        <f t="shared" si="50"/>
        <v>ผ่าน</v>
      </c>
      <c r="AH109" s="8">
        <f t="shared" ref="AH109" si="55">IF(AND(AB109&gt;AD109,AB109&lt;AC109),AB109,AC109)</f>
        <v>13164675.460000001</v>
      </c>
      <c r="AI109" s="112"/>
      <c r="AJ109" s="8">
        <f t="shared" si="51"/>
        <v>13434226.85</v>
      </c>
      <c r="AK109" s="112"/>
      <c r="AL109" s="112"/>
      <c r="AM109" s="8">
        <f t="shared" si="52"/>
        <v>0</v>
      </c>
      <c r="AN109" s="8">
        <f t="shared" si="53"/>
        <v>13434226.85</v>
      </c>
      <c r="AO109" s="8">
        <f t="shared" si="54"/>
        <v>13434226.85</v>
      </c>
    </row>
    <row r="110" spans="1:41" ht="14.25" customHeight="1" outlineLevel="1">
      <c r="A110" s="172"/>
      <c r="B110" s="173"/>
      <c r="C110" s="104"/>
      <c r="D110" s="174" t="s">
        <v>269</v>
      </c>
      <c r="E110" s="173"/>
      <c r="F110" s="173"/>
      <c r="G110" s="175"/>
      <c r="H110" s="176"/>
      <c r="I110" s="177"/>
      <c r="J110" s="178">
        <f t="shared" ref="J110:AF110" si="56">SUBTOTAL(9,J98:J109)</f>
        <v>535388</v>
      </c>
      <c r="K110" s="179">
        <f t="shared" si="56"/>
        <v>16043.688981793326</v>
      </c>
      <c r="L110" s="179">
        <f t="shared" si="56"/>
        <v>3183.2225347382514</v>
      </c>
      <c r="M110" s="180">
        <f t="shared" si="56"/>
        <v>45580.083400000003</v>
      </c>
      <c r="N110" s="180">
        <f t="shared" si="56"/>
        <v>1057.6723</v>
      </c>
      <c r="O110" s="180">
        <f t="shared" si="56"/>
        <v>643.52449999999999</v>
      </c>
      <c r="P110" s="180">
        <f t="shared" si="56"/>
        <v>138.44720000000001</v>
      </c>
      <c r="Q110" s="175">
        <f t="shared" si="56"/>
        <v>84459.97370964133</v>
      </c>
      <c r="R110" s="175">
        <f t="shared" si="56"/>
        <v>673381330.18999994</v>
      </c>
      <c r="S110" s="175">
        <f t="shared" si="56"/>
        <v>133605346.46999998</v>
      </c>
      <c r="T110" s="177">
        <f t="shared" si="56"/>
        <v>364929482.52999997</v>
      </c>
      <c r="U110" s="175">
        <f t="shared" si="56"/>
        <v>10153654.08</v>
      </c>
      <c r="V110" s="175">
        <f t="shared" si="56"/>
        <v>5791720.5000000009</v>
      </c>
      <c r="W110" s="175">
        <f t="shared" si="56"/>
        <v>1661366.4</v>
      </c>
      <c r="X110" s="179">
        <f t="shared" si="56"/>
        <v>1189522900.1700001</v>
      </c>
      <c r="Y110" s="179">
        <f t="shared" si="56"/>
        <v>640185200</v>
      </c>
      <c r="Z110" s="175">
        <f t="shared" si="56"/>
        <v>549337700.16999996</v>
      </c>
      <c r="AA110" s="181">
        <f t="shared" si="56"/>
        <v>1142445.5900000001</v>
      </c>
      <c r="AB110" s="182">
        <f t="shared" si="56"/>
        <v>550480145.75999999</v>
      </c>
      <c r="AC110" s="179">
        <f t="shared" si="56"/>
        <v>493709620.94000006</v>
      </c>
      <c r="AD110" s="179">
        <f t="shared" si="56"/>
        <v>467724904.02999997</v>
      </c>
      <c r="AE110" s="179">
        <f t="shared" si="56"/>
        <v>56770524.82</v>
      </c>
      <c r="AF110" s="179">
        <f t="shared" si="56"/>
        <v>82755241.729999989</v>
      </c>
      <c r="AG110" s="183"/>
      <c r="AH110" s="179">
        <f t="shared" ref="AH110:AO110" si="57">SUBTOTAL(9,AH98:AH109)</f>
        <v>493709620.94000006</v>
      </c>
      <c r="AI110" s="184">
        <f t="shared" si="57"/>
        <v>0</v>
      </c>
      <c r="AJ110" s="179">
        <f t="shared" si="57"/>
        <v>550480145.75999999</v>
      </c>
      <c r="AK110" s="184">
        <f t="shared" si="57"/>
        <v>0</v>
      </c>
      <c r="AL110" s="184">
        <f t="shared" si="57"/>
        <v>0</v>
      </c>
      <c r="AM110" s="179">
        <f t="shared" si="57"/>
        <v>0</v>
      </c>
      <c r="AN110" s="179">
        <f t="shared" si="57"/>
        <v>550480145.75999999</v>
      </c>
      <c r="AO110" s="179">
        <f t="shared" si="57"/>
        <v>550480145.75999999</v>
      </c>
    </row>
    <row r="111" spans="1:41">
      <c r="A111" s="160"/>
      <c r="B111" s="161"/>
      <c r="D111" s="162" t="s">
        <v>270</v>
      </c>
      <c r="E111" s="161"/>
      <c r="F111" s="161"/>
      <c r="G111" s="163"/>
      <c r="H111" s="164">
        <f>SUBTOTAL(9,H16:H110)</f>
        <v>0</v>
      </c>
      <c r="I111" s="165"/>
      <c r="J111" s="166">
        <f t="shared" ref="J111:AO111" si="58">SUBTOTAL(9,J16:J110)</f>
        <v>4141896</v>
      </c>
      <c r="K111" s="99">
        <f t="shared" si="58"/>
        <v>120559.18516742608</v>
      </c>
      <c r="L111" s="99">
        <f t="shared" si="58"/>
        <v>23636.328401321771</v>
      </c>
      <c r="M111" s="167">
        <f t="shared" si="58"/>
        <v>528208.60629999998</v>
      </c>
      <c r="N111" s="167">
        <f t="shared" si="58"/>
        <v>12180.969800000003</v>
      </c>
      <c r="O111" s="167">
        <f t="shared" si="58"/>
        <v>12184.299699999998</v>
      </c>
      <c r="P111" s="167">
        <f t="shared" si="58"/>
        <v>1305.1943000000001</v>
      </c>
      <c r="Q111" s="163">
        <f t="shared" si="58"/>
        <v>619373.14053737058</v>
      </c>
      <c r="R111" s="163">
        <f t="shared" si="58"/>
        <v>5129086269.6900005</v>
      </c>
      <c r="S111" s="163">
        <f t="shared" si="58"/>
        <v>1006076852.48</v>
      </c>
      <c r="T111" s="165">
        <f t="shared" si="58"/>
        <v>4110945324.0999999</v>
      </c>
      <c r="U111" s="163">
        <f t="shared" si="58"/>
        <v>116937310.07999997</v>
      </c>
      <c r="V111" s="163">
        <f t="shared" si="58"/>
        <v>109658697.30000003</v>
      </c>
      <c r="W111" s="163">
        <f t="shared" si="58"/>
        <v>15662331.6</v>
      </c>
      <c r="X111" s="99">
        <f t="shared" si="58"/>
        <v>10488366785.25</v>
      </c>
      <c r="Y111" s="99">
        <f t="shared" si="58"/>
        <v>4825917500</v>
      </c>
      <c r="Z111" s="163">
        <f t="shared" si="58"/>
        <v>5662449285.250001</v>
      </c>
      <c r="AA111" s="168">
        <f t="shared" si="58"/>
        <v>81440729.310000002</v>
      </c>
      <c r="AB111" s="169">
        <f t="shared" si="58"/>
        <v>5743890014.5599985</v>
      </c>
      <c r="AC111" s="99">
        <f t="shared" si="58"/>
        <v>5176466485.7899971</v>
      </c>
      <c r="AD111" s="99">
        <f t="shared" si="58"/>
        <v>4903547197.0799999</v>
      </c>
      <c r="AE111" s="99">
        <f t="shared" si="58"/>
        <v>567423528.76999998</v>
      </c>
      <c r="AF111" s="99">
        <f t="shared" si="58"/>
        <v>840342817.47999966</v>
      </c>
      <c r="AG111" s="170">
        <f t="shared" si="58"/>
        <v>0</v>
      </c>
      <c r="AH111" s="99">
        <f t="shared" si="58"/>
        <v>5176466485.7899971</v>
      </c>
      <c r="AI111" s="171">
        <f t="shared" si="58"/>
        <v>0</v>
      </c>
      <c r="AJ111" s="99">
        <f t="shared" si="58"/>
        <v>5743890014.5599985</v>
      </c>
      <c r="AK111" s="171">
        <f t="shared" si="58"/>
        <v>0</v>
      </c>
      <c r="AL111" s="171">
        <f t="shared" si="58"/>
        <v>0</v>
      </c>
      <c r="AM111" s="99">
        <f t="shared" si="58"/>
        <v>0</v>
      </c>
      <c r="AN111" s="99">
        <f t="shared" si="58"/>
        <v>5743890014.5599985</v>
      </c>
      <c r="AO111" s="99">
        <f t="shared" si="58"/>
        <v>5743890014.5599985</v>
      </c>
    </row>
    <row r="112" spans="1:41">
      <c r="J112" s="145"/>
      <c r="K112" s="145"/>
      <c r="L112" s="145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</row>
    <row r="113" spans="5:41"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</row>
  </sheetData>
  <sheetProtection algorithmName="SHA-512" hashValue="hhkQlAx8E70TDgbS7lZy2RRbVGRC69lIx7oDyOiLKX6w7K3SMq39CVfKC75R482zAZc+K6GCl6VuINk8wxP2qA==" saltValue="tEnfWN243QTNNR38t1cT+w==" spinCount="100000" sheet="1" objects="1" scenarios="1"/>
  <autoFilter ref="A15:AO110" xr:uid="{5D9618AD-4A7D-44A3-A8EB-01CA64D85B40}"/>
  <mergeCells count="4">
    <mergeCell ref="G14:I14"/>
    <mergeCell ref="AN11:AO13"/>
    <mergeCell ref="AK11:AM13"/>
    <mergeCell ref="AC11:AH13"/>
  </mergeCells>
  <conditionalFormatting sqref="AG16:AG111">
    <cfRule type="cellIs" dxfId="4" priority="5" operator="equal">
      <formula>"ผ่าน"</formula>
    </cfRule>
  </conditionalFormatting>
  <conditionalFormatting sqref="AG16:AG111">
    <cfRule type="containsText" dxfId="3" priority="1" operator="containsText" text="ไม่ผ่าน">
      <formula>NOT(ISERROR(SEARCH("ไม่ผ่าน",AG16)))</formula>
    </cfRule>
    <cfRule type="containsText" dxfId="2" priority="2" operator="containsText" text="ผ่าน">
      <formula>NOT(ISERROR(SEARCH("ผ่าน",AG16)))</formula>
    </cfRule>
    <cfRule type="containsText" dxfId="1" priority="3" operator="containsText" text="ไม่ผ่าน">
      <formula>NOT(ISERROR(SEARCH("ไม่ผ่าน",AG16)))</formula>
    </cfRule>
    <cfRule type="containsText" dxfId="0" priority="4" operator="containsText" text="ผ่าน">
      <formula>NOT(ISERROR(SEARCH("ผ่าน",AG16)))</formula>
    </cfRule>
  </conditionalFormatting>
  <pageMargins left="0.7" right="0.7" top="0.75" bottom="0.75" header="0.3" footer="0.3"/>
  <pageSetup paperSize="9" orientation="portrait" r:id="rId1"/>
  <rowBreaks count="8" manualBreakCount="8">
    <brk id="15" max="16383" man="1"/>
    <brk id="24" max="16383" man="1"/>
    <brk id="31" max="16383" man="1"/>
    <brk id="53" max="16383" man="1"/>
    <brk id="68" max="16383" man="1"/>
    <brk id="78" max="16383" man="1"/>
    <brk id="97" max="16383" man="1"/>
    <brk id="11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6493-514E-4EC2-8DA9-F03178B22BA3}">
  <dimension ref="A1:H106"/>
  <sheetViews>
    <sheetView workbookViewId="0">
      <pane xSplit="3" ySplit="2" topLeftCell="D35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H15" sqref="H15"/>
    </sheetView>
  </sheetViews>
  <sheetFormatPr defaultColWidth="9" defaultRowHeight="12.5" outlineLevelRow="2"/>
  <cols>
    <col min="1" max="1" width="5.08984375" style="68" customWidth="1"/>
    <col min="2" max="2" width="8.36328125" style="68" customWidth="1"/>
    <col min="3" max="3" width="11.6328125" style="68" customWidth="1"/>
    <col min="4" max="4" width="5.08984375" style="68" customWidth="1"/>
    <col min="5" max="5" width="19.36328125" style="68" customWidth="1"/>
    <col min="6" max="6" width="6.6328125" style="68" customWidth="1"/>
    <col min="7" max="7" width="16.36328125" style="68" customWidth="1"/>
    <col min="8" max="8" width="17.90625" style="68" customWidth="1"/>
    <col min="9" max="16384" width="9" style="68"/>
  </cols>
  <sheetData>
    <row r="1" spans="1:8" ht="32.25" customHeight="1">
      <c r="A1" s="301" t="s">
        <v>419</v>
      </c>
      <c r="B1" s="301"/>
      <c r="C1" s="301"/>
      <c r="D1" s="301"/>
      <c r="E1" s="301"/>
      <c r="F1" s="301"/>
      <c r="G1" s="301"/>
      <c r="H1" s="301"/>
    </row>
    <row r="2" spans="1:8" ht="33" customHeight="1">
      <c r="A2" s="100" t="s">
        <v>221</v>
      </c>
      <c r="B2" s="100" t="s">
        <v>9</v>
      </c>
      <c r="C2" s="100" t="s">
        <v>262</v>
      </c>
      <c r="D2" s="100" t="s">
        <v>319</v>
      </c>
      <c r="E2" s="100" t="s">
        <v>320</v>
      </c>
      <c r="F2" s="100" t="s">
        <v>12</v>
      </c>
      <c r="G2" s="101" t="s">
        <v>306</v>
      </c>
      <c r="H2" s="185" t="s">
        <v>307</v>
      </c>
    </row>
    <row r="3" spans="1:8" ht="14.25" customHeight="1" outlineLevel="2">
      <c r="A3" s="186" t="s">
        <v>26</v>
      </c>
      <c r="B3" s="186" t="s">
        <v>27</v>
      </c>
      <c r="C3" s="186" t="s">
        <v>28</v>
      </c>
      <c r="D3" s="186" t="s">
        <v>29</v>
      </c>
      <c r="E3" s="186" t="s">
        <v>30</v>
      </c>
      <c r="F3" s="187" t="s">
        <v>19</v>
      </c>
      <c r="G3" s="191"/>
      <c r="H3" s="121"/>
    </row>
    <row r="4" spans="1:8" ht="14.25" customHeight="1" outlineLevel="2">
      <c r="A4" s="122" t="s">
        <v>26</v>
      </c>
      <c r="B4" s="122" t="s">
        <v>27</v>
      </c>
      <c r="C4" s="122" t="s">
        <v>28</v>
      </c>
      <c r="D4" s="122" t="s">
        <v>31</v>
      </c>
      <c r="E4" s="122" t="s">
        <v>32</v>
      </c>
      <c r="F4" s="123" t="s">
        <v>19</v>
      </c>
      <c r="G4" s="191"/>
      <c r="H4" s="124"/>
    </row>
    <row r="5" spans="1:8" ht="14.25" customHeight="1" outlineLevel="2">
      <c r="A5" s="69" t="s">
        <v>26</v>
      </c>
      <c r="B5" s="69" t="s">
        <v>27</v>
      </c>
      <c r="C5" s="69" t="s">
        <v>28</v>
      </c>
      <c r="D5" s="69" t="s">
        <v>33</v>
      </c>
      <c r="E5" s="69" t="s">
        <v>34</v>
      </c>
      <c r="F5" s="102" t="s">
        <v>19</v>
      </c>
      <c r="G5" s="191"/>
      <c r="H5" s="103"/>
    </row>
    <row r="6" spans="1:8" ht="14.25" customHeight="1" outlineLevel="2">
      <c r="A6" s="69" t="s">
        <v>26</v>
      </c>
      <c r="B6" s="69" t="s">
        <v>27</v>
      </c>
      <c r="C6" s="69" t="s">
        <v>28</v>
      </c>
      <c r="D6" s="69" t="s">
        <v>35</v>
      </c>
      <c r="E6" s="69" t="s">
        <v>36</v>
      </c>
      <c r="F6" s="102" t="s">
        <v>19</v>
      </c>
      <c r="G6" s="191"/>
      <c r="H6" s="103"/>
    </row>
    <row r="7" spans="1:8" ht="14.25" customHeight="1" outlineLevel="2">
      <c r="A7" s="69" t="s">
        <v>26</v>
      </c>
      <c r="B7" s="69" t="s">
        <v>27</v>
      </c>
      <c r="C7" s="69" t="s">
        <v>28</v>
      </c>
      <c r="D7" s="69" t="s">
        <v>37</v>
      </c>
      <c r="E7" s="69" t="s">
        <v>38</v>
      </c>
      <c r="F7" s="102" t="s">
        <v>19</v>
      </c>
      <c r="G7" s="191"/>
      <c r="H7" s="103"/>
    </row>
    <row r="8" spans="1:8" ht="14.25" customHeight="1" outlineLevel="2">
      <c r="A8" s="69" t="s">
        <v>26</v>
      </c>
      <c r="B8" s="69" t="s">
        <v>27</v>
      </c>
      <c r="C8" s="69" t="s">
        <v>28</v>
      </c>
      <c r="D8" s="69" t="s">
        <v>39</v>
      </c>
      <c r="E8" s="69" t="s">
        <v>40</v>
      </c>
      <c r="F8" s="102" t="s">
        <v>19</v>
      </c>
      <c r="G8" s="191"/>
      <c r="H8" s="103"/>
    </row>
    <row r="9" spans="1:8" ht="14.25" customHeight="1" outlineLevel="2">
      <c r="A9" s="69" t="s">
        <v>26</v>
      </c>
      <c r="B9" s="69" t="s">
        <v>27</v>
      </c>
      <c r="C9" s="69" t="s">
        <v>28</v>
      </c>
      <c r="D9" s="69" t="s">
        <v>41</v>
      </c>
      <c r="E9" s="69" t="s">
        <v>42</v>
      </c>
      <c r="F9" s="102" t="s">
        <v>19</v>
      </c>
      <c r="G9" s="191"/>
      <c r="H9" s="103"/>
    </row>
    <row r="10" spans="1:8" ht="14.25" customHeight="1" outlineLevel="2">
      <c r="A10" s="119" t="s">
        <v>26</v>
      </c>
      <c r="B10" s="119" t="s">
        <v>27</v>
      </c>
      <c r="C10" s="119" t="s">
        <v>28</v>
      </c>
      <c r="D10" s="119" t="s">
        <v>43</v>
      </c>
      <c r="E10" s="119" t="s">
        <v>44</v>
      </c>
      <c r="F10" s="120" t="s">
        <v>19</v>
      </c>
      <c r="G10" s="191"/>
      <c r="H10" s="103"/>
    </row>
    <row r="11" spans="1:8" ht="14.25" customHeight="1" outlineLevel="1">
      <c r="A11" s="188"/>
      <c r="B11" s="188"/>
      <c r="C11" s="189" t="s">
        <v>263</v>
      </c>
      <c r="D11" s="188"/>
      <c r="E11" s="188"/>
      <c r="F11" s="188"/>
      <c r="G11" s="192">
        <v>6325602.9500000002</v>
      </c>
      <c r="H11" s="190">
        <f>SUBTOTAL(9,H3:H10)</f>
        <v>0</v>
      </c>
    </row>
    <row r="12" spans="1:8" ht="14.25" customHeight="1" outlineLevel="2">
      <c r="A12" s="186" t="s">
        <v>26</v>
      </c>
      <c r="B12" s="186" t="s">
        <v>45</v>
      </c>
      <c r="C12" s="186" t="s">
        <v>46</v>
      </c>
      <c r="D12" s="186" t="s">
        <v>47</v>
      </c>
      <c r="E12" s="186" t="s">
        <v>48</v>
      </c>
      <c r="F12" s="187" t="s">
        <v>19</v>
      </c>
      <c r="G12" s="191"/>
      <c r="H12" s="121"/>
    </row>
    <row r="13" spans="1:8" ht="14.25" customHeight="1" outlineLevel="2">
      <c r="A13" s="122" t="s">
        <v>26</v>
      </c>
      <c r="B13" s="122" t="s">
        <v>45</v>
      </c>
      <c r="C13" s="122" t="s">
        <v>46</v>
      </c>
      <c r="D13" s="122" t="s">
        <v>49</v>
      </c>
      <c r="E13" s="122" t="s">
        <v>50</v>
      </c>
      <c r="F13" s="123" t="s">
        <v>19</v>
      </c>
      <c r="G13" s="191"/>
      <c r="H13" s="124"/>
    </row>
    <row r="14" spans="1:8" ht="14.25" customHeight="1" outlineLevel="2">
      <c r="A14" s="69" t="s">
        <v>26</v>
      </c>
      <c r="B14" s="69" t="s">
        <v>45</v>
      </c>
      <c r="C14" s="69" t="s">
        <v>46</v>
      </c>
      <c r="D14" s="69" t="s">
        <v>51</v>
      </c>
      <c r="E14" s="69" t="s">
        <v>52</v>
      </c>
      <c r="F14" s="102" t="s">
        <v>19</v>
      </c>
      <c r="G14" s="191"/>
      <c r="H14" s="103"/>
    </row>
    <row r="15" spans="1:8" ht="14.25" customHeight="1" outlineLevel="2">
      <c r="A15" s="69" t="s">
        <v>26</v>
      </c>
      <c r="B15" s="69" t="s">
        <v>45</v>
      </c>
      <c r="C15" s="69" t="s">
        <v>46</v>
      </c>
      <c r="D15" s="69" t="s">
        <v>53</v>
      </c>
      <c r="E15" s="69" t="s">
        <v>54</v>
      </c>
      <c r="F15" s="102" t="s">
        <v>19</v>
      </c>
      <c r="G15" s="191"/>
      <c r="H15" s="103"/>
    </row>
    <row r="16" spans="1:8" ht="14.25" customHeight="1" outlineLevel="2">
      <c r="A16" s="69" t="s">
        <v>26</v>
      </c>
      <c r="B16" s="69" t="s">
        <v>45</v>
      </c>
      <c r="C16" s="69" t="s">
        <v>46</v>
      </c>
      <c r="D16" s="69" t="s">
        <v>55</v>
      </c>
      <c r="E16" s="69" t="s">
        <v>56</v>
      </c>
      <c r="F16" s="102" t="s">
        <v>19</v>
      </c>
      <c r="G16" s="191"/>
      <c r="H16" s="103"/>
    </row>
    <row r="17" spans="1:8" ht="14.25" customHeight="1" outlineLevel="2">
      <c r="A17" s="69" t="s">
        <v>26</v>
      </c>
      <c r="B17" s="69" t="s">
        <v>45</v>
      </c>
      <c r="C17" s="69" t="s">
        <v>46</v>
      </c>
      <c r="D17" s="69" t="s">
        <v>290</v>
      </c>
      <c r="E17" s="69" t="s">
        <v>291</v>
      </c>
      <c r="F17" s="102" t="s">
        <v>288</v>
      </c>
      <c r="G17" s="191"/>
      <c r="H17" s="103"/>
    </row>
    <row r="18" spans="1:8" ht="14.25" customHeight="1" outlineLevel="2">
      <c r="A18" s="119" t="s">
        <v>26</v>
      </c>
      <c r="B18" s="119" t="s">
        <v>45</v>
      </c>
      <c r="C18" s="119" t="s">
        <v>46</v>
      </c>
      <c r="D18" s="119" t="s">
        <v>57</v>
      </c>
      <c r="E18" s="119" t="s">
        <v>58</v>
      </c>
      <c r="F18" s="120" t="s">
        <v>19</v>
      </c>
      <c r="G18" s="191"/>
      <c r="H18" s="103"/>
    </row>
    <row r="19" spans="1:8" ht="14.25" customHeight="1" outlineLevel="1">
      <c r="A19" s="188"/>
      <c r="B19" s="188"/>
      <c r="C19" s="189" t="s">
        <v>264</v>
      </c>
      <c r="D19" s="188"/>
      <c r="E19" s="188"/>
      <c r="F19" s="188"/>
      <c r="G19" s="192">
        <v>8071313.9400000004</v>
      </c>
      <c r="H19" s="190">
        <f>SUBTOTAL(9,H12:H18)</f>
        <v>0</v>
      </c>
    </row>
    <row r="20" spans="1:8" ht="14.25" customHeight="1" outlineLevel="2">
      <c r="A20" s="186" t="s">
        <v>26</v>
      </c>
      <c r="B20" s="186" t="s">
        <v>59</v>
      </c>
      <c r="C20" s="186" t="s">
        <v>60</v>
      </c>
      <c r="D20" s="186" t="s">
        <v>61</v>
      </c>
      <c r="E20" s="186" t="s">
        <v>62</v>
      </c>
      <c r="F20" s="187" t="s">
        <v>19</v>
      </c>
      <c r="G20" s="191"/>
      <c r="H20" s="121"/>
    </row>
    <row r="21" spans="1:8" ht="14.25" customHeight="1" outlineLevel="2">
      <c r="A21" s="122" t="s">
        <v>26</v>
      </c>
      <c r="B21" s="122" t="s">
        <v>59</v>
      </c>
      <c r="C21" s="122" t="s">
        <v>60</v>
      </c>
      <c r="D21" s="122" t="s">
        <v>63</v>
      </c>
      <c r="E21" s="122" t="s">
        <v>64</v>
      </c>
      <c r="F21" s="123" t="s">
        <v>19</v>
      </c>
      <c r="G21" s="191"/>
      <c r="H21" s="124"/>
    </row>
    <row r="22" spans="1:8" ht="14.25" customHeight="1" outlineLevel="2">
      <c r="A22" s="69" t="s">
        <v>26</v>
      </c>
      <c r="B22" s="69" t="s">
        <v>59</v>
      </c>
      <c r="C22" s="69" t="s">
        <v>60</v>
      </c>
      <c r="D22" s="69" t="s">
        <v>65</v>
      </c>
      <c r="E22" s="69" t="s">
        <v>66</v>
      </c>
      <c r="F22" s="102" t="s">
        <v>19</v>
      </c>
      <c r="G22" s="191"/>
      <c r="H22" s="103"/>
    </row>
    <row r="23" spans="1:8" ht="14.25" customHeight="1" outlineLevel="2">
      <c r="A23" s="69" t="s">
        <v>26</v>
      </c>
      <c r="B23" s="69" t="s">
        <v>59</v>
      </c>
      <c r="C23" s="69" t="s">
        <v>60</v>
      </c>
      <c r="D23" s="69" t="s">
        <v>67</v>
      </c>
      <c r="E23" s="69" t="s">
        <v>68</v>
      </c>
      <c r="F23" s="102" t="s">
        <v>19</v>
      </c>
      <c r="G23" s="191"/>
      <c r="H23" s="103"/>
    </row>
    <row r="24" spans="1:8" ht="14.25" customHeight="1" outlineLevel="2">
      <c r="A24" s="69" t="s">
        <v>26</v>
      </c>
      <c r="B24" s="69" t="s">
        <v>59</v>
      </c>
      <c r="C24" s="69" t="s">
        <v>60</v>
      </c>
      <c r="D24" s="69" t="s">
        <v>69</v>
      </c>
      <c r="E24" s="69" t="s">
        <v>70</v>
      </c>
      <c r="F24" s="102" t="s">
        <v>19</v>
      </c>
      <c r="G24" s="191"/>
      <c r="H24" s="103"/>
    </row>
    <row r="25" spans="1:8" ht="14.25" customHeight="1" outlineLevel="2">
      <c r="A25" s="69" t="s">
        <v>26</v>
      </c>
      <c r="B25" s="69" t="s">
        <v>59</v>
      </c>
      <c r="C25" s="69" t="s">
        <v>60</v>
      </c>
      <c r="D25" s="69" t="s">
        <v>71</v>
      </c>
      <c r="E25" s="69" t="s">
        <v>72</v>
      </c>
      <c r="F25" s="102" t="s">
        <v>19</v>
      </c>
      <c r="G25" s="191"/>
      <c r="H25" s="103"/>
    </row>
    <row r="26" spans="1:8" ht="14.25" customHeight="1" outlineLevel="2">
      <c r="A26" s="69" t="s">
        <v>26</v>
      </c>
      <c r="B26" s="69" t="s">
        <v>59</v>
      </c>
      <c r="C26" s="69" t="s">
        <v>60</v>
      </c>
      <c r="D26" s="69" t="s">
        <v>73</v>
      </c>
      <c r="E26" s="69" t="s">
        <v>74</v>
      </c>
      <c r="F26" s="102" t="s">
        <v>19</v>
      </c>
      <c r="G26" s="191"/>
      <c r="H26" s="103"/>
    </row>
    <row r="27" spans="1:8" ht="14.25" customHeight="1" outlineLevel="2">
      <c r="A27" s="69" t="s">
        <v>26</v>
      </c>
      <c r="B27" s="69" t="s">
        <v>59</v>
      </c>
      <c r="C27" s="69" t="s">
        <v>60</v>
      </c>
      <c r="D27" s="69" t="s">
        <v>75</v>
      </c>
      <c r="E27" s="69" t="s">
        <v>76</v>
      </c>
      <c r="F27" s="102" t="s">
        <v>19</v>
      </c>
      <c r="G27" s="191"/>
      <c r="H27" s="103"/>
    </row>
    <row r="28" spans="1:8" ht="14.25" customHeight="1" outlineLevel="2">
      <c r="A28" s="69" t="s">
        <v>26</v>
      </c>
      <c r="B28" s="69" t="s">
        <v>59</v>
      </c>
      <c r="C28" s="69" t="s">
        <v>60</v>
      </c>
      <c r="D28" s="69" t="s">
        <v>77</v>
      </c>
      <c r="E28" s="69" t="s">
        <v>78</v>
      </c>
      <c r="F28" s="102" t="s">
        <v>19</v>
      </c>
      <c r="G28" s="191"/>
      <c r="H28" s="103"/>
    </row>
    <row r="29" spans="1:8" ht="14.25" customHeight="1" outlineLevel="2">
      <c r="A29" s="69" t="s">
        <v>26</v>
      </c>
      <c r="B29" s="69" t="s">
        <v>59</v>
      </c>
      <c r="C29" s="69" t="s">
        <v>60</v>
      </c>
      <c r="D29" s="69" t="s">
        <v>79</v>
      </c>
      <c r="E29" s="69" t="s">
        <v>80</v>
      </c>
      <c r="F29" s="102" t="s">
        <v>19</v>
      </c>
      <c r="G29" s="191"/>
      <c r="H29" s="103"/>
    </row>
    <row r="30" spans="1:8" ht="14.25" customHeight="1" outlineLevel="2">
      <c r="A30" s="69" t="s">
        <v>26</v>
      </c>
      <c r="B30" s="69" t="s">
        <v>59</v>
      </c>
      <c r="C30" s="69" t="s">
        <v>60</v>
      </c>
      <c r="D30" s="69" t="s">
        <v>81</v>
      </c>
      <c r="E30" s="69" t="s">
        <v>82</v>
      </c>
      <c r="F30" s="102" t="s">
        <v>19</v>
      </c>
      <c r="G30" s="191"/>
      <c r="H30" s="103"/>
    </row>
    <row r="31" spans="1:8" ht="14.25" customHeight="1" outlineLevel="2">
      <c r="A31" s="69" t="s">
        <v>26</v>
      </c>
      <c r="B31" s="69" t="s">
        <v>59</v>
      </c>
      <c r="C31" s="69" t="s">
        <v>60</v>
      </c>
      <c r="D31" s="69" t="s">
        <v>83</v>
      </c>
      <c r="E31" s="69" t="s">
        <v>84</v>
      </c>
      <c r="F31" s="102" t="s">
        <v>19</v>
      </c>
      <c r="G31" s="191"/>
      <c r="H31" s="103"/>
    </row>
    <row r="32" spans="1:8" ht="14.25" customHeight="1" outlineLevel="2">
      <c r="A32" s="69" t="s">
        <v>26</v>
      </c>
      <c r="B32" s="69" t="s">
        <v>59</v>
      </c>
      <c r="C32" s="69" t="s">
        <v>60</v>
      </c>
      <c r="D32" s="69" t="s">
        <v>85</v>
      </c>
      <c r="E32" s="69" t="s">
        <v>86</v>
      </c>
      <c r="F32" s="102" t="s">
        <v>19</v>
      </c>
      <c r="G32" s="191"/>
      <c r="H32" s="103"/>
    </row>
    <row r="33" spans="1:8" ht="14.25" customHeight="1" outlineLevel="2">
      <c r="A33" s="69" t="s">
        <v>26</v>
      </c>
      <c r="B33" s="69" t="s">
        <v>59</v>
      </c>
      <c r="C33" s="69" t="s">
        <v>60</v>
      </c>
      <c r="D33" s="69" t="s">
        <v>87</v>
      </c>
      <c r="E33" s="69" t="s">
        <v>88</v>
      </c>
      <c r="F33" s="102" t="s">
        <v>19</v>
      </c>
      <c r="G33" s="191"/>
      <c r="H33" s="103"/>
    </row>
    <row r="34" spans="1:8" ht="14.25" customHeight="1" outlineLevel="2">
      <c r="A34" s="69" t="s">
        <v>26</v>
      </c>
      <c r="B34" s="69" t="s">
        <v>59</v>
      </c>
      <c r="C34" s="69" t="s">
        <v>60</v>
      </c>
      <c r="D34" s="69" t="s">
        <v>89</v>
      </c>
      <c r="E34" s="69" t="s">
        <v>90</v>
      </c>
      <c r="F34" s="102" t="s">
        <v>19</v>
      </c>
      <c r="G34" s="191"/>
      <c r="H34" s="103"/>
    </row>
    <row r="35" spans="1:8" ht="14.25" customHeight="1" outlineLevel="2">
      <c r="A35" s="69" t="s">
        <v>26</v>
      </c>
      <c r="B35" s="69" t="s">
        <v>59</v>
      </c>
      <c r="C35" s="69" t="s">
        <v>60</v>
      </c>
      <c r="D35" s="69" t="s">
        <v>91</v>
      </c>
      <c r="E35" s="69" t="s">
        <v>92</v>
      </c>
      <c r="F35" s="102" t="s">
        <v>19</v>
      </c>
      <c r="G35" s="191"/>
      <c r="H35" s="103"/>
    </row>
    <row r="36" spans="1:8" ht="14.25" customHeight="1" outlineLevel="2">
      <c r="A36" s="69" t="s">
        <v>26</v>
      </c>
      <c r="B36" s="69" t="s">
        <v>59</v>
      </c>
      <c r="C36" s="69" t="s">
        <v>60</v>
      </c>
      <c r="D36" s="69" t="s">
        <v>93</v>
      </c>
      <c r="E36" s="69" t="s">
        <v>94</v>
      </c>
      <c r="F36" s="102" t="s">
        <v>19</v>
      </c>
      <c r="G36" s="191"/>
      <c r="H36" s="103"/>
    </row>
    <row r="37" spans="1:8" ht="14.25" customHeight="1" outlineLevel="2">
      <c r="A37" s="69" t="s">
        <v>26</v>
      </c>
      <c r="B37" s="69" t="s">
        <v>59</v>
      </c>
      <c r="C37" s="69" t="s">
        <v>60</v>
      </c>
      <c r="D37" s="69" t="s">
        <v>95</v>
      </c>
      <c r="E37" s="69" t="s">
        <v>96</v>
      </c>
      <c r="F37" s="102" t="s">
        <v>19</v>
      </c>
      <c r="G37" s="191"/>
      <c r="H37" s="103"/>
    </row>
    <row r="38" spans="1:8" ht="14.25" customHeight="1" outlineLevel="2">
      <c r="A38" s="69" t="s">
        <v>26</v>
      </c>
      <c r="B38" s="69" t="s">
        <v>59</v>
      </c>
      <c r="C38" s="69" t="s">
        <v>60</v>
      </c>
      <c r="D38" s="69" t="s">
        <v>97</v>
      </c>
      <c r="E38" s="69" t="s">
        <v>98</v>
      </c>
      <c r="F38" s="102" t="s">
        <v>19</v>
      </c>
      <c r="G38" s="191"/>
      <c r="H38" s="103"/>
    </row>
    <row r="39" spans="1:8" ht="14.25" customHeight="1" outlineLevel="2">
      <c r="A39" s="69" t="s">
        <v>26</v>
      </c>
      <c r="B39" s="69" t="s">
        <v>59</v>
      </c>
      <c r="C39" s="69" t="s">
        <v>60</v>
      </c>
      <c r="D39" s="69" t="s">
        <v>292</v>
      </c>
      <c r="E39" s="69" t="s">
        <v>293</v>
      </c>
      <c r="F39" s="102" t="s">
        <v>287</v>
      </c>
      <c r="G39" s="191"/>
      <c r="H39" s="103"/>
    </row>
    <row r="40" spans="1:8" ht="14.25" customHeight="1" outlineLevel="2">
      <c r="A40" s="69" t="s">
        <v>26</v>
      </c>
      <c r="B40" s="69" t="s">
        <v>59</v>
      </c>
      <c r="C40" s="69" t="s">
        <v>60</v>
      </c>
      <c r="D40" s="69" t="s">
        <v>294</v>
      </c>
      <c r="E40" s="69" t="s">
        <v>295</v>
      </c>
      <c r="F40" s="102" t="s">
        <v>287</v>
      </c>
      <c r="G40" s="191"/>
      <c r="H40" s="103"/>
    </row>
    <row r="41" spans="1:8" ht="14.25" customHeight="1" outlineLevel="2">
      <c r="A41" s="69" t="s">
        <v>26</v>
      </c>
      <c r="B41" s="69" t="s">
        <v>59</v>
      </c>
      <c r="C41" s="69" t="s">
        <v>60</v>
      </c>
      <c r="D41" s="69" t="s">
        <v>296</v>
      </c>
      <c r="E41" s="69" t="s">
        <v>297</v>
      </c>
      <c r="F41" s="102" t="s">
        <v>289</v>
      </c>
      <c r="G41" s="191"/>
      <c r="H41" s="103"/>
    </row>
    <row r="42" spans="1:8" ht="14.25" customHeight="1" outlineLevel="2">
      <c r="A42" s="69" t="s">
        <v>26</v>
      </c>
      <c r="B42" s="69" t="s">
        <v>59</v>
      </c>
      <c r="C42" s="69" t="s">
        <v>60</v>
      </c>
      <c r="D42" s="69" t="s">
        <v>99</v>
      </c>
      <c r="E42" s="69" t="s">
        <v>100</v>
      </c>
      <c r="F42" s="102" t="s">
        <v>19</v>
      </c>
      <c r="G42" s="191"/>
      <c r="H42" s="103"/>
    </row>
    <row r="43" spans="1:8" ht="14.25" customHeight="1" outlineLevel="2">
      <c r="A43" s="119" t="s">
        <v>26</v>
      </c>
      <c r="B43" s="119" t="s">
        <v>59</v>
      </c>
      <c r="C43" s="119" t="s">
        <v>60</v>
      </c>
      <c r="D43" s="119" t="s">
        <v>101</v>
      </c>
      <c r="E43" s="119" t="s">
        <v>102</v>
      </c>
      <c r="F43" s="120" t="s">
        <v>19</v>
      </c>
      <c r="G43" s="191"/>
      <c r="H43" s="103"/>
    </row>
    <row r="44" spans="1:8" ht="14.25" customHeight="1" outlineLevel="1">
      <c r="A44" s="188"/>
      <c r="B44" s="188"/>
      <c r="C44" s="189" t="s">
        <v>265</v>
      </c>
      <c r="D44" s="188"/>
      <c r="E44" s="188"/>
      <c r="F44" s="188"/>
      <c r="G44" s="192">
        <v>32634298.5</v>
      </c>
      <c r="H44" s="190">
        <f>SUBTOTAL(9,H20:H43)</f>
        <v>0</v>
      </c>
    </row>
    <row r="45" spans="1:8" ht="14.25" customHeight="1" outlineLevel="2">
      <c r="A45" s="186" t="s">
        <v>26</v>
      </c>
      <c r="B45" s="186" t="s">
        <v>103</v>
      </c>
      <c r="C45" s="186" t="s">
        <v>104</v>
      </c>
      <c r="D45" s="186" t="s">
        <v>105</v>
      </c>
      <c r="E45" s="186" t="s">
        <v>106</v>
      </c>
      <c r="F45" s="187" t="s">
        <v>19</v>
      </c>
      <c r="G45" s="191"/>
      <c r="H45" s="121"/>
    </row>
    <row r="46" spans="1:8" ht="14.25" customHeight="1" outlineLevel="2">
      <c r="A46" s="122" t="s">
        <v>26</v>
      </c>
      <c r="B46" s="122" t="s">
        <v>103</v>
      </c>
      <c r="C46" s="122" t="s">
        <v>104</v>
      </c>
      <c r="D46" s="122" t="s">
        <v>107</v>
      </c>
      <c r="E46" s="122" t="s">
        <v>108</v>
      </c>
      <c r="F46" s="123" t="s">
        <v>19</v>
      </c>
      <c r="G46" s="191"/>
      <c r="H46" s="124"/>
    </row>
    <row r="47" spans="1:8" ht="14.25" customHeight="1" outlineLevel="2">
      <c r="A47" s="69" t="s">
        <v>26</v>
      </c>
      <c r="B47" s="69" t="s">
        <v>103</v>
      </c>
      <c r="C47" s="69" t="s">
        <v>104</v>
      </c>
      <c r="D47" s="69" t="s">
        <v>109</v>
      </c>
      <c r="E47" s="69" t="s">
        <v>110</v>
      </c>
      <c r="F47" s="102" t="s">
        <v>19</v>
      </c>
      <c r="G47" s="191"/>
      <c r="H47" s="103"/>
    </row>
    <row r="48" spans="1:8" ht="14.25" customHeight="1" outlineLevel="2">
      <c r="A48" s="69" t="s">
        <v>26</v>
      </c>
      <c r="B48" s="69" t="s">
        <v>103</v>
      </c>
      <c r="C48" s="69" t="s">
        <v>104</v>
      </c>
      <c r="D48" s="69" t="s">
        <v>111</v>
      </c>
      <c r="E48" s="69" t="s">
        <v>112</v>
      </c>
      <c r="F48" s="102" t="s">
        <v>19</v>
      </c>
      <c r="G48" s="191"/>
      <c r="H48" s="103"/>
    </row>
    <row r="49" spans="1:8" ht="14.25" customHeight="1" outlineLevel="2">
      <c r="A49" s="69" t="s">
        <v>26</v>
      </c>
      <c r="B49" s="69" t="s">
        <v>103</v>
      </c>
      <c r="C49" s="69" t="s">
        <v>104</v>
      </c>
      <c r="D49" s="69" t="s">
        <v>113</v>
      </c>
      <c r="E49" s="69" t="s">
        <v>114</v>
      </c>
      <c r="F49" s="102" t="s">
        <v>19</v>
      </c>
      <c r="G49" s="191"/>
      <c r="H49" s="103"/>
    </row>
    <row r="50" spans="1:8" ht="14.25" customHeight="1" outlineLevel="2">
      <c r="A50" s="69" t="s">
        <v>26</v>
      </c>
      <c r="B50" s="69" t="s">
        <v>103</v>
      </c>
      <c r="C50" s="69" t="s">
        <v>104</v>
      </c>
      <c r="D50" s="69" t="s">
        <v>115</v>
      </c>
      <c r="E50" s="69" t="s">
        <v>116</v>
      </c>
      <c r="F50" s="102" t="s">
        <v>19</v>
      </c>
      <c r="G50" s="191"/>
      <c r="H50" s="103"/>
    </row>
    <row r="51" spans="1:8" ht="14.25" customHeight="1" outlineLevel="2">
      <c r="A51" s="69" t="s">
        <v>26</v>
      </c>
      <c r="B51" s="69" t="s">
        <v>103</v>
      </c>
      <c r="C51" s="69" t="s">
        <v>104</v>
      </c>
      <c r="D51" s="69" t="s">
        <v>117</v>
      </c>
      <c r="E51" s="69" t="s">
        <v>118</v>
      </c>
      <c r="F51" s="102" t="s">
        <v>19</v>
      </c>
      <c r="G51" s="191"/>
      <c r="H51" s="103"/>
    </row>
    <row r="52" spans="1:8" ht="14.25" customHeight="1" outlineLevel="2">
      <c r="A52" s="69" t="s">
        <v>26</v>
      </c>
      <c r="B52" s="69" t="s">
        <v>103</v>
      </c>
      <c r="C52" s="69" t="s">
        <v>104</v>
      </c>
      <c r="D52" s="69" t="s">
        <v>119</v>
      </c>
      <c r="E52" s="69" t="s">
        <v>120</v>
      </c>
      <c r="F52" s="102" t="s">
        <v>19</v>
      </c>
      <c r="G52" s="191"/>
      <c r="H52" s="103"/>
    </row>
    <row r="53" spans="1:8" ht="14.25" customHeight="1" outlineLevel="2">
      <c r="A53" s="69" t="s">
        <v>26</v>
      </c>
      <c r="B53" s="69" t="s">
        <v>103</v>
      </c>
      <c r="C53" s="69" t="s">
        <v>104</v>
      </c>
      <c r="D53" s="69" t="s">
        <v>121</v>
      </c>
      <c r="E53" s="69" t="s">
        <v>122</v>
      </c>
      <c r="F53" s="102" t="s">
        <v>19</v>
      </c>
      <c r="G53" s="191"/>
      <c r="H53" s="103"/>
    </row>
    <row r="54" spans="1:8" ht="14.25" customHeight="1" outlineLevel="2">
      <c r="A54" s="69" t="s">
        <v>26</v>
      </c>
      <c r="B54" s="69" t="s">
        <v>103</v>
      </c>
      <c r="C54" s="69" t="s">
        <v>104</v>
      </c>
      <c r="D54" s="69" t="s">
        <v>123</v>
      </c>
      <c r="E54" s="69" t="s">
        <v>124</v>
      </c>
      <c r="F54" s="102" t="s">
        <v>19</v>
      </c>
      <c r="G54" s="191"/>
      <c r="H54" s="103"/>
    </row>
    <row r="55" spans="1:8" ht="14.25" customHeight="1" outlineLevel="2">
      <c r="A55" s="69" t="s">
        <v>26</v>
      </c>
      <c r="B55" s="69" t="s">
        <v>103</v>
      </c>
      <c r="C55" s="69" t="s">
        <v>104</v>
      </c>
      <c r="D55" s="69" t="s">
        <v>125</v>
      </c>
      <c r="E55" s="69" t="s">
        <v>126</v>
      </c>
      <c r="F55" s="102" t="s">
        <v>19</v>
      </c>
      <c r="G55" s="191"/>
      <c r="H55" s="103"/>
    </row>
    <row r="56" spans="1:8" ht="14.25" customHeight="1" outlineLevel="2">
      <c r="A56" s="69" t="s">
        <v>26</v>
      </c>
      <c r="B56" s="69" t="s">
        <v>103</v>
      </c>
      <c r="C56" s="69" t="s">
        <v>104</v>
      </c>
      <c r="D56" s="69" t="s">
        <v>127</v>
      </c>
      <c r="E56" s="69" t="s">
        <v>128</v>
      </c>
      <c r="F56" s="102" t="s">
        <v>19</v>
      </c>
      <c r="G56" s="191"/>
      <c r="H56" s="103"/>
    </row>
    <row r="57" spans="1:8" ht="14.25" customHeight="1" outlineLevel="2">
      <c r="A57" s="69" t="s">
        <v>26</v>
      </c>
      <c r="B57" s="69" t="s">
        <v>103</v>
      </c>
      <c r="C57" s="69" t="s">
        <v>104</v>
      </c>
      <c r="D57" s="69" t="s">
        <v>298</v>
      </c>
      <c r="E57" s="69" t="s">
        <v>299</v>
      </c>
      <c r="F57" s="102" t="s">
        <v>287</v>
      </c>
      <c r="G57" s="191"/>
      <c r="H57" s="103"/>
    </row>
    <row r="58" spans="1:8" ht="14.25" customHeight="1" outlineLevel="2">
      <c r="A58" s="69" t="s">
        <v>26</v>
      </c>
      <c r="B58" s="69" t="s">
        <v>103</v>
      </c>
      <c r="C58" s="69" t="s">
        <v>104</v>
      </c>
      <c r="D58" s="69" t="s">
        <v>129</v>
      </c>
      <c r="E58" s="69" t="s">
        <v>130</v>
      </c>
      <c r="F58" s="102" t="s">
        <v>19</v>
      </c>
      <c r="G58" s="191"/>
      <c r="H58" s="103"/>
    </row>
    <row r="59" spans="1:8" ht="14.25" customHeight="1" outlineLevel="2">
      <c r="A59" s="119" t="s">
        <v>26</v>
      </c>
      <c r="B59" s="119" t="s">
        <v>103</v>
      </c>
      <c r="C59" s="119" t="s">
        <v>104</v>
      </c>
      <c r="D59" s="119" t="s">
        <v>131</v>
      </c>
      <c r="E59" s="119" t="s">
        <v>132</v>
      </c>
      <c r="F59" s="120" t="s">
        <v>19</v>
      </c>
      <c r="G59" s="191"/>
      <c r="H59" s="103"/>
    </row>
    <row r="60" spans="1:8" ht="14.25" customHeight="1" outlineLevel="1">
      <c r="A60" s="188"/>
      <c r="B60" s="188"/>
      <c r="C60" s="189" t="s">
        <v>266</v>
      </c>
      <c r="D60" s="188"/>
      <c r="E60" s="188"/>
      <c r="F60" s="188"/>
      <c r="G60" s="192">
        <v>13812759.039999999</v>
      </c>
      <c r="H60" s="190">
        <f>SUBTOTAL(9,H45:H59)</f>
        <v>0</v>
      </c>
    </row>
    <row r="61" spans="1:8" ht="14.25" customHeight="1" outlineLevel="2">
      <c r="A61" s="186" t="s">
        <v>26</v>
      </c>
      <c r="B61" s="186" t="s">
        <v>133</v>
      </c>
      <c r="C61" s="186" t="s">
        <v>134</v>
      </c>
      <c r="D61" s="186" t="s">
        <v>135</v>
      </c>
      <c r="E61" s="186" t="s">
        <v>136</v>
      </c>
      <c r="F61" s="187" t="s">
        <v>19</v>
      </c>
      <c r="G61" s="191"/>
      <c r="H61" s="121"/>
    </row>
    <row r="62" spans="1:8" ht="14.25" customHeight="1" outlineLevel="2">
      <c r="A62" s="122" t="s">
        <v>26</v>
      </c>
      <c r="B62" s="122" t="s">
        <v>133</v>
      </c>
      <c r="C62" s="122" t="s">
        <v>134</v>
      </c>
      <c r="D62" s="122" t="s">
        <v>137</v>
      </c>
      <c r="E62" s="122" t="s">
        <v>138</v>
      </c>
      <c r="F62" s="123" t="s">
        <v>19</v>
      </c>
      <c r="G62" s="191"/>
      <c r="H62" s="124"/>
    </row>
    <row r="63" spans="1:8" ht="14.25" customHeight="1" outlineLevel="2">
      <c r="A63" s="69" t="s">
        <v>26</v>
      </c>
      <c r="B63" s="69" t="s">
        <v>133</v>
      </c>
      <c r="C63" s="69" t="s">
        <v>134</v>
      </c>
      <c r="D63" s="69" t="s">
        <v>139</v>
      </c>
      <c r="E63" s="69" t="s">
        <v>140</v>
      </c>
      <c r="F63" s="102" t="s">
        <v>19</v>
      </c>
      <c r="G63" s="191"/>
      <c r="H63" s="103"/>
    </row>
    <row r="64" spans="1:8" ht="14.25" customHeight="1" outlineLevel="2">
      <c r="A64" s="69" t="s">
        <v>26</v>
      </c>
      <c r="B64" s="69" t="s">
        <v>133</v>
      </c>
      <c r="C64" s="69" t="s">
        <v>134</v>
      </c>
      <c r="D64" s="69" t="s">
        <v>141</v>
      </c>
      <c r="E64" s="69" t="s">
        <v>142</v>
      </c>
      <c r="F64" s="102" t="s">
        <v>19</v>
      </c>
      <c r="G64" s="191"/>
      <c r="H64" s="103"/>
    </row>
    <row r="65" spans="1:8" ht="14.25" customHeight="1" outlineLevel="2">
      <c r="A65" s="69" t="s">
        <v>26</v>
      </c>
      <c r="B65" s="69" t="s">
        <v>133</v>
      </c>
      <c r="C65" s="69" t="s">
        <v>134</v>
      </c>
      <c r="D65" s="69" t="s">
        <v>143</v>
      </c>
      <c r="E65" s="69" t="s">
        <v>144</v>
      </c>
      <c r="F65" s="102" t="s">
        <v>19</v>
      </c>
      <c r="G65" s="191"/>
      <c r="H65" s="103"/>
    </row>
    <row r="66" spans="1:8" ht="14.25" customHeight="1" outlineLevel="2">
      <c r="A66" s="69" t="s">
        <v>26</v>
      </c>
      <c r="B66" s="69" t="s">
        <v>133</v>
      </c>
      <c r="C66" s="69" t="s">
        <v>134</v>
      </c>
      <c r="D66" s="69" t="s">
        <v>300</v>
      </c>
      <c r="E66" s="69" t="s">
        <v>301</v>
      </c>
      <c r="F66" s="102" t="s">
        <v>288</v>
      </c>
      <c r="G66" s="191"/>
      <c r="H66" s="103"/>
    </row>
    <row r="67" spans="1:8" ht="14.25" customHeight="1" outlineLevel="2">
      <c r="A67" s="69" t="s">
        <v>26</v>
      </c>
      <c r="B67" s="69" t="s">
        <v>133</v>
      </c>
      <c r="C67" s="69" t="s">
        <v>134</v>
      </c>
      <c r="D67" s="69" t="s">
        <v>145</v>
      </c>
      <c r="E67" s="69" t="s">
        <v>146</v>
      </c>
      <c r="F67" s="102" t="s">
        <v>19</v>
      </c>
      <c r="G67" s="191"/>
      <c r="H67" s="103"/>
    </row>
    <row r="68" spans="1:8" ht="14.25" customHeight="1" outlineLevel="2">
      <c r="A68" s="69" t="s">
        <v>26</v>
      </c>
      <c r="B68" s="69" t="s">
        <v>133</v>
      </c>
      <c r="C68" s="69" t="s">
        <v>134</v>
      </c>
      <c r="D68" s="69" t="s">
        <v>147</v>
      </c>
      <c r="E68" s="69" t="s">
        <v>148</v>
      </c>
      <c r="F68" s="102" t="s">
        <v>19</v>
      </c>
      <c r="G68" s="191"/>
      <c r="H68" s="103"/>
    </row>
    <row r="69" spans="1:8" ht="14.25" customHeight="1" outlineLevel="2">
      <c r="A69" s="69" t="s">
        <v>26</v>
      </c>
      <c r="B69" s="69" t="s">
        <v>133</v>
      </c>
      <c r="C69" s="69" t="s">
        <v>134</v>
      </c>
      <c r="D69" s="69" t="s">
        <v>149</v>
      </c>
      <c r="E69" s="69" t="s">
        <v>150</v>
      </c>
      <c r="F69" s="102" t="s">
        <v>19</v>
      </c>
      <c r="G69" s="191"/>
      <c r="H69" s="103"/>
    </row>
    <row r="70" spans="1:8" ht="14.25" customHeight="1" outlineLevel="2">
      <c r="A70" s="119" t="s">
        <v>26</v>
      </c>
      <c r="B70" s="119" t="s">
        <v>133</v>
      </c>
      <c r="C70" s="119" t="s">
        <v>134</v>
      </c>
      <c r="D70" s="119" t="s">
        <v>151</v>
      </c>
      <c r="E70" s="119" t="s">
        <v>152</v>
      </c>
      <c r="F70" s="120" t="s">
        <v>19</v>
      </c>
      <c r="G70" s="191"/>
      <c r="H70" s="103"/>
    </row>
    <row r="71" spans="1:8" ht="14.25" customHeight="1" outlineLevel="1">
      <c r="A71" s="188"/>
      <c r="B71" s="188"/>
      <c r="C71" s="189" t="s">
        <v>267</v>
      </c>
      <c r="D71" s="188"/>
      <c r="E71" s="188"/>
      <c r="F71" s="188"/>
      <c r="G71" s="192">
        <v>10190656.08</v>
      </c>
      <c r="H71" s="190">
        <f>SUBTOTAL(9,H61:H70)</f>
        <v>0</v>
      </c>
    </row>
    <row r="72" spans="1:8" ht="14.25" customHeight="1" outlineLevel="2">
      <c r="A72" s="186" t="s">
        <v>26</v>
      </c>
      <c r="B72" s="186" t="s">
        <v>153</v>
      </c>
      <c r="C72" s="186" t="s">
        <v>154</v>
      </c>
      <c r="D72" s="186" t="s">
        <v>155</v>
      </c>
      <c r="E72" s="186" t="s">
        <v>156</v>
      </c>
      <c r="F72" s="187" t="s">
        <v>19</v>
      </c>
      <c r="G72" s="191"/>
      <c r="H72" s="121"/>
    </row>
    <row r="73" spans="1:8" ht="14.25" customHeight="1" outlineLevel="2">
      <c r="A73" s="122" t="s">
        <v>26</v>
      </c>
      <c r="B73" s="122" t="s">
        <v>153</v>
      </c>
      <c r="C73" s="122" t="s">
        <v>154</v>
      </c>
      <c r="D73" s="122" t="s">
        <v>157</v>
      </c>
      <c r="E73" s="122" t="s">
        <v>158</v>
      </c>
      <c r="F73" s="123" t="s">
        <v>19</v>
      </c>
      <c r="G73" s="191"/>
      <c r="H73" s="124"/>
    </row>
    <row r="74" spans="1:8" ht="14.25" customHeight="1" outlineLevel="2">
      <c r="A74" s="69" t="s">
        <v>26</v>
      </c>
      <c r="B74" s="69" t="s">
        <v>153</v>
      </c>
      <c r="C74" s="69" t="s">
        <v>154</v>
      </c>
      <c r="D74" s="69" t="s">
        <v>159</v>
      </c>
      <c r="E74" s="69" t="s">
        <v>160</v>
      </c>
      <c r="F74" s="102" t="s">
        <v>19</v>
      </c>
      <c r="G74" s="191"/>
      <c r="H74" s="103"/>
    </row>
    <row r="75" spans="1:8" ht="14.25" customHeight="1" outlineLevel="2">
      <c r="A75" s="69" t="s">
        <v>26</v>
      </c>
      <c r="B75" s="69" t="s">
        <v>153</v>
      </c>
      <c r="C75" s="69" t="s">
        <v>154</v>
      </c>
      <c r="D75" s="69" t="s">
        <v>161</v>
      </c>
      <c r="E75" s="69" t="s">
        <v>162</v>
      </c>
      <c r="F75" s="102" t="s">
        <v>19</v>
      </c>
      <c r="G75" s="191"/>
      <c r="H75" s="103"/>
    </row>
    <row r="76" spans="1:8" ht="14.25" customHeight="1" outlineLevel="2">
      <c r="A76" s="69" t="s">
        <v>26</v>
      </c>
      <c r="B76" s="69" t="s">
        <v>153</v>
      </c>
      <c r="C76" s="69" t="s">
        <v>154</v>
      </c>
      <c r="D76" s="69" t="s">
        <v>163</v>
      </c>
      <c r="E76" s="69" t="s">
        <v>164</v>
      </c>
      <c r="F76" s="102" t="s">
        <v>19</v>
      </c>
      <c r="G76" s="191"/>
      <c r="H76" s="103"/>
    </row>
    <row r="77" spans="1:8" ht="14.25" customHeight="1" outlineLevel="2">
      <c r="A77" s="69" t="s">
        <v>26</v>
      </c>
      <c r="B77" s="69" t="s">
        <v>153</v>
      </c>
      <c r="C77" s="69" t="s">
        <v>154</v>
      </c>
      <c r="D77" s="69" t="s">
        <v>165</v>
      </c>
      <c r="E77" s="69" t="s">
        <v>166</v>
      </c>
      <c r="F77" s="102" t="s">
        <v>19</v>
      </c>
      <c r="G77" s="191"/>
      <c r="H77" s="103"/>
    </row>
    <row r="78" spans="1:8" ht="14.25" customHeight="1" outlineLevel="2">
      <c r="A78" s="69" t="s">
        <v>26</v>
      </c>
      <c r="B78" s="69" t="s">
        <v>153</v>
      </c>
      <c r="C78" s="69" t="s">
        <v>154</v>
      </c>
      <c r="D78" s="69" t="s">
        <v>167</v>
      </c>
      <c r="E78" s="69" t="s">
        <v>168</v>
      </c>
      <c r="F78" s="102" t="s">
        <v>19</v>
      </c>
      <c r="G78" s="191"/>
      <c r="H78" s="103"/>
    </row>
    <row r="79" spans="1:8" ht="14.25" customHeight="1" outlineLevel="2">
      <c r="A79" s="69" t="s">
        <v>26</v>
      </c>
      <c r="B79" s="69" t="s">
        <v>153</v>
      </c>
      <c r="C79" s="69" t="s">
        <v>154</v>
      </c>
      <c r="D79" s="69" t="s">
        <v>169</v>
      </c>
      <c r="E79" s="69" t="s">
        <v>170</v>
      </c>
      <c r="F79" s="102" t="s">
        <v>19</v>
      </c>
      <c r="G79" s="191"/>
      <c r="H79" s="103"/>
    </row>
    <row r="80" spans="1:8" ht="14.25" customHeight="1" outlineLevel="2">
      <c r="A80" s="69" t="s">
        <v>26</v>
      </c>
      <c r="B80" s="69" t="s">
        <v>153</v>
      </c>
      <c r="C80" s="69" t="s">
        <v>154</v>
      </c>
      <c r="D80" s="69" t="s">
        <v>171</v>
      </c>
      <c r="E80" s="69" t="s">
        <v>172</v>
      </c>
      <c r="F80" s="102" t="s">
        <v>19</v>
      </c>
      <c r="G80" s="191"/>
      <c r="H80" s="103"/>
    </row>
    <row r="81" spans="1:8" ht="14.25" customHeight="1" outlineLevel="2">
      <c r="A81" s="69" t="s">
        <v>26</v>
      </c>
      <c r="B81" s="69" t="s">
        <v>153</v>
      </c>
      <c r="C81" s="69" t="s">
        <v>154</v>
      </c>
      <c r="D81" s="69" t="s">
        <v>173</v>
      </c>
      <c r="E81" s="69" t="s">
        <v>174</v>
      </c>
      <c r="F81" s="102" t="s">
        <v>19</v>
      </c>
      <c r="G81" s="191"/>
      <c r="H81" s="103"/>
    </row>
    <row r="82" spans="1:8" ht="14.25" customHeight="1" outlineLevel="2">
      <c r="A82" s="69" t="s">
        <v>26</v>
      </c>
      <c r="B82" s="69" t="s">
        <v>153</v>
      </c>
      <c r="C82" s="69" t="s">
        <v>154</v>
      </c>
      <c r="D82" s="69" t="s">
        <v>175</v>
      </c>
      <c r="E82" s="69" t="s">
        <v>176</v>
      </c>
      <c r="F82" s="102" t="s">
        <v>19</v>
      </c>
      <c r="G82" s="191"/>
      <c r="H82" s="103"/>
    </row>
    <row r="83" spans="1:8" ht="14.25" customHeight="1" outlineLevel="2">
      <c r="A83" s="69" t="s">
        <v>26</v>
      </c>
      <c r="B83" s="69" t="s">
        <v>153</v>
      </c>
      <c r="C83" s="69" t="s">
        <v>154</v>
      </c>
      <c r="D83" s="69" t="s">
        <v>177</v>
      </c>
      <c r="E83" s="69" t="s">
        <v>178</v>
      </c>
      <c r="F83" s="102" t="s">
        <v>19</v>
      </c>
      <c r="G83" s="191"/>
      <c r="H83" s="103"/>
    </row>
    <row r="84" spans="1:8" ht="14.25" customHeight="1" outlineLevel="2">
      <c r="A84" s="69" t="s">
        <v>26</v>
      </c>
      <c r="B84" s="69" t="s">
        <v>153</v>
      </c>
      <c r="C84" s="69" t="s">
        <v>154</v>
      </c>
      <c r="D84" s="69" t="s">
        <v>179</v>
      </c>
      <c r="E84" s="69" t="s">
        <v>180</v>
      </c>
      <c r="F84" s="102" t="s">
        <v>19</v>
      </c>
      <c r="G84" s="191"/>
      <c r="H84" s="103"/>
    </row>
    <row r="85" spans="1:8" ht="14.25" customHeight="1" outlineLevel="2">
      <c r="A85" s="69" t="s">
        <v>26</v>
      </c>
      <c r="B85" s="69" t="s">
        <v>153</v>
      </c>
      <c r="C85" s="69" t="s">
        <v>154</v>
      </c>
      <c r="D85" s="69" t="s">
        <v>181</v>
      </c>
      <c r="E85" s="69" t="s">
        <v>182</v>
      </c>
      <c r="F85" s="102" t="s">
        <v>19</v>
      </c>
      <c r="G85" s="191"/>
      <c r="H85" s="103"/>
    </row>
    <row r="86" spans="1:8" ht="14.25" customHeight="1" outlineLevel="2">
      <c r="A86" s="69" t="s">
        <v>26</v>
      </c>
      <c r="B86" s="69" t="s">
        <v>153</v>
      </c>
      <c r="C86" s="69" t="s">
        <v>154</v>
      </c>
      <c r="D86" s="69" t="s">
        <v>183</v>
      </c>
      <c r="E86" s="69" t="s">
        <v>184</v>
      </c>
      <c r="F86" s="102" t="s">
        <v>19</v>
      </c>
      <c r="G86" s="191"/>
      <c r="H86" s="103"/>
    </row>
    <row r="87" spans="1:8" ht="14.25" customHeight="1" outlineLevel="2">
      <c r="A87" s="69" t="s">
        <v>26</v>
      </c>
      <c r="B87" s="69" t="s">
        <v>153</v>
      </c>
      <c r="C87" s="69" t="s">
        <v>154</v>
      </c>
      <c r="D87" s="69" t="s">
        <v>185</v>
      </c>
      <c r="E87" s="69" t="s">
        <v>186</v>
      </c>
      <c r="F87" s="102" t="s">
        <v>19</v>
      </c>
      <c r="G87" s="191"/>
      <c r="H87" s="103"/>
    </row>
    <row r="88" spans="1:8" ht="14.25" customHeight="1" outlineLevel="2">
      <c r="A88" s="69" t="s">
        <v>26</v>
      </c>
      <c r="B88" s="69" t="s">
        <v>153</v>
      </c>
      <c r="C88" s="69" t="s">
        <v>154</v>
      </c>
      <c r="D88" s="69" t="s">
        <v>187</v>
      </c>
      <c r="E88" s="69" t="s">
        <v>188</v>
      </c>
      <c r="F88" s="102" t="s">
        <v>19</v>
      </c>
      <c r="G88" s="191"/>
      <c r="H88" s="103"/>
    </row>
    <row r="89" spans="1:8" ht="14.25" customHeight="1" outlineLevel="2">
      <c r="A89" s="69" t="s">
        <v>26</v>
      </c>
      <c r="B89" s="69" t="s">
        <v>153</v>
      </c>
      <c r="C89" s="69" t="s">
        <v>154</v>
      </c>
      <c r="D89" s="69" t="s">
        <v>302</v>
      </c>
      <c r="E89" s="69" t="s">
        <v>303</v>
      </c>
      <c r="F89" s="102" t="s">
        <v>287</v>
      </c>
      <c r="G89" s="191"/>
      <c r="H89" s="103"/>
    </row>
    <row r="90" spans="1:8" ht="14.25" customHeight="1" outlineLevel="2">
      <c r="A90" s="119" t="s">
        <v>26</v>
      </c>
      <c r="B90" s="119" t="s">
        <v>153</v>
      </c>
      <c r="C90" s="119" t="s">
        <v>154</v>
      </c>
      <c r="D90" s="119" t="s">
        <v>189</v>
      </c>
      <c r="E90" s="119" t="s">
        <v>190</v>
      </c>
      <c r="F90" s="120" t="s">
        <v>19</v>
      </c>
      <c r="G90" s="191"/>
      <c r="H90" s="103"/>
    </row>
    <row r="91" spans="1:8" ht="14.25" customHeight="1" outlineLevel="1">
      <c r="A91" s="188"/>
      <c r="B91" s="188"/>
      <c r="C91" s="189" t="s">
        <v>268</v>
      </c>
      <c r="D91" s="188"/>
      <c r="E91" s="188"/>
      <c r="F91" s="188"/>
      <c r="G91" s="192">
        <v>21313070.800000001</v>
      </c>
      <c r="H91" s="190">
        <f>SUBTOTAL(9,H72:H90)</f>
        <v>0</v>
      </c>
    </row>
    <row r="92" spans="1:8" ht="14.25" customHeight="1" outlineLevel="2">
      <c r="A92" s="186" t="s">
        <v>26</v>
      </c>
      <c r="B92" s="186" t="s">
        <v>191</v>
      </c>
      <c r="C92" s="186" t="s">
        <v>192</v>
      </c>
      <c r="D92" s="186" t="s">
        <v>193</v>
      </c>
      <c r="E92" s="186" t="s">
        <v>194</v>
      </c>
      <c r="F92" s="187" t="s">
        <v>19</v>
      </c>
      <c r="G92" s="191"/>
      <c r="H92" s="121"/>
    </row>
    <row r="93" spans="1:8" ht="14.25" customHeight="1" outlineLevel="2">
      <c r="A93" s="122" t="s">
        <v>26</v>
      </c>
      <c r="B93" s="122" t="s">
        <v>191</v>
      </c>
      <c r="C93" s="122" t="s">
        <v>192</v>
      </c>
      <c r="D93" s="122" t="s">
        <v>195</v>
      </c>
      <c r="E93" s="122" t="s">
        <v>196</v>
      </c>
      <c r="F93" s="123" t="s">
        <v>19</v>
      </c>
      <c r="G93" s="191"/>
      <c r="H93" s="124"/>
    </row>
    <row r="94" spans="1:8" ht="14.25" customHeight="1" outlineLevel="2">
      <c r="A94" s="69" t="s">
        <v>26</v>
      </c>
      <c r="B94" s="69" t="s">
        <v>191</v>
      </c>
      <c r="C94" s="69" t="s">
        <v>192</v>
      </c>
      <c r="D94" s="69" t="s">
        <v>197</v>
      </c>
      <c r="E94" s="69" t="s">
        <v>198</v>
      </c>
      <c r="F94" s="102" t="s">
        <v>19</v>
      </c>
      <c r="G94" s="191"/>
      <c r="H94" s="103"/>
    </row>
    <row r="95" spans="1:8" ht="14.25" customHeight="1" outlineLevel="2">
      <c r="A95" s="69" t="s">
        <v>26</v>
      </c>
      <c r="B95" s="69" t="s">
        <v>191</v>
      </c>
      <c r="C95" s="69" t="s">
        <v>192</v>
      </c>
      <c r="D95" s="69" t="s">
        <v>199</v>
      </c>
      <c r="E95" s="69" t="s">
        <v>200</v>
      </c>
      <c r="F95" s="102" t="s">
        <v>19</v>
      </c>
      <c r="G95" s="191"/>
      <c r="H95" s="103"/>
    </row>
    <row r="96" spans="1:8" ht="14.25" customHeight="1" outlineLevel="2">
      <c r="A96" s="69" t="s">
        <v>26</v>
      </c>
      <c r="B96" s="69" t="s">
        <v>191</v>
      </c>
      <c r="C96" s="69" t="s">
        <v>192</v>
      </c>
      <c r="D96" s="69" t="s">
        <v>201</v>
      </c>
      <c r="E96" s="69" t="s">
        <v>202</v>
      </c>
      <c r="F96" s="102" t="s">
        <v>19</v>
      </c>
      <c r="G96" s="191"/>
      <c r="H96" s="103"/>
    </row>
    <row r="97" spans="1:8" ht="14.25" customHeight="1" outlineLevel="2">
      <c r="A97" s="69" t="s">
        <v>26</v>
      </c>
      <c r="B97" s="69" t="s">
        <v>191</v>
      </c>
      <c r="C97" s="69" t="s">
        <v>192</v>
      </c>
      <c r="D97" s="69" t="s">
        <v>203</v>
      </c>
      <c r="E97" s="69" t="s">
        <v>204</v>
      </c>
      <c r="F97" s="102" t="s">
        <v>19</v>
      </c>
      <c r="G97" s="191"/>
      <c r="H97" s="103"/>
    </row>
    <row r="98" spans="1:8" ht="14.25" customHeight="1" outlineLevel="2">
      <c r="A98" s="69" t="s">
        <v>26</v>
      </c>
      <c r="B98" s="69" t="s">
        <v>191</v>
      </c>
      <c r="C98" s="69" t="s">
        <v>192</v>
      </c>
      <c r="D98" s="69" t="s">
        <v>205</v>
      </c>
      <c r="E98" s="69" t="s">
        <v>206</v>
      </c>
      <c r="F98" s="102" t="s">
        <v>19</v>
      </c>
      <c r="G98" s="191"/>
      <c r="H98" s="103"/>
    </row>
    <row r="99" spans="1:8" ht="14.25" customHeight="1" outlineLevel="2">
      <c r="A99" s="69" t="s">
        <v>26</v>
      </c>
      <c r="B99" s="69" t="s">
        <v>191</v>
      </c>
      <c r="C99" s="69" t="s">
        <v>192</v>
      </c>
      <c r="D99" s="69" t="s">
        <v>207</v>
      </c>
      <c r="E99" s="69" t="s">
        <v>208</v>
      </c>
      <c r="F99" s="102" t="s">
        <v>19</v>
      </c>
      <c r="G99" s="191"/>
      <c r="H99" s="103"/>
    </row>
    <row r="100" spans="1:8" ht="14.25" customHeight="1" outlineLevel="2">
      <c r="A100" s="69" t="s">
        <v>26</v>
      </c>
      <c r="B100" s="69" t="s">
        <v>191</v>
      </c>
      <c r="C100" s="69" t="s">
        <v>192</v>
      </c>
      <c r="D100" s="69" t="s">
        <v>209</v>
      </c>
      <c r="E100" s="69" t="s">
        <v>210</v>
      </c>
      <c r="F100" s="102" t="s">
        <v>19</v>
      </c>
      <c r="G100" s="191"/>
      <c r="H100" s="103"/>
    </row>
    <row r="101" spans="1:8" ht="14.25" customHeight="1" outlineLevel="2">
      <c r="A101" s="69" t="s">
        <v>26</v>
      </c>
      <c r="B101" s="69" t="s">
        <v>191</v>
      </c>
      <c r="C101" s="69" t="s">
        <v>192</v>
      </c>
      <c r="D101" s="69" t="s">
        <v>211</v>
      </c>
      <c r="E101" s="69" t="s">
        <v>212</v>
      </c>
      <c r="F101" s="102" t="s">
        <v>19</v>
      </c>
      <c r="G101" s="191"/>
      <c r="H101" s="103"/>
    </row>
    <row r="102" spans="1:8" ht="14.25" customHeight="1" outlineLevel="2">
      <c r="A102" s="69" t="s">
        <v>26</v>
      </c>
      <c r="B102" s="69" t="s">
        <v>191</v>
      </c>
      <c r="C102" s="69" t="s">
        <v>192</v>
      </c>
      <c r="D102" s="69" t="s">
        <v>213</v>
      </c>
      <c r="E102" s="69" t="s">
        <v>214</v>
      </c>
      <c r="F102" s="102" t="s">
        <v>19</v>
      </c>
      <c r="G102" s="191"/>
      <c r="H102" s="103"/>
    </row>
    <row r="103" spans="1:8" ht="14.25" customHeight="1" outlineLevel="2">
      <c r="A103" s="69" t="s">
        <v>26</v>
      </c>
      <c r="B103" s="69" t="s">
        <v>191</v>
      </c>
      <c r="C103" s="69" t="s">
        <v>192</v>
      </c>
      <c r="D103" s="69" t="s">
        <v>304</v>
      </c>
      <c r="E103" s="69" t="s">
        <v>305</v>
      </c>
      <c r="F103" s="102" t="s">
        <v>287</v>
      </c>
      <c r="G103" s="191"/>
      <c r="H103" s="103"/>
    </row>
    <row r="104" spans="1:8" ht="14.25" customHeight="1" outlineLevel="2">
      <c r="A104" s="119" t="s">
        <v>26</v>
      </c>
      <c r="B104" s="119" t="s">
        <v>191</v>
      </c>
      <c r="C104" s="119" t="s">
        <v>192</v>
      </c>
      <c r="D104" s="119" t="s">
        <v>215</v>
      </c>
      <c r="E104" s="119" t="s">
        <v>216</v>
      </c>
      <c r="F104" s="120" t="s">
        <v>19</v>
      </c>
      <c r="G104" s="191"/>
      <c r="H104" s="103"/>
    </row>
    <row r="105" spans="1:8" ht="14.25" customHeight="1" outlineLevel="1">
      <c r="A105" s="188"/>
      <c r="B105" s="188"/>
      <c r="C105" s="189" t="s">
        <v>269</v>
      </c>
      <c r="D105" s="188"/>
      <c r="E105" s="188"/>
      <c r="F105" s="188"/>
      <c r="G105" s="192">
        <v>11556521.210000001</v>
      </c>
      <c r="H105" s="190">
        <f>SUBTOTAL(9,H92:H104)</f>
        <v>0</v>
      </c>
    </row>
    <row r="106" spans="1:8" ht="14.25" customHeight="1">
      <c r="A106" s="268"/>
      <c r="B106" s="268"/>
      <c r="C106" s="269" t="s">
        <v>270</v>
      </c>
      <c r="D106" s="268"/>
      <c r="E106" s="268"/>
      <c r="F106" s="268"/>
      <c r="G106" s="270">
        <f>SUBTOTAL(9,G3:G105)</f>
        <v>103904222.52000001</v>
      </c>
      <c r="H106" s="271">
        <f>SUBTOTAL(9,H3:H105)</f>
        <v>0</v>
      </c>
    </row>
  </sheetData>
  <sheetProtection algorithmName="SHA-512" hashValue="ZgjPaGWKq3nuCny7wlkF0hDg9LbGETHpRn32hzro/K8XaJntL/ACDLy9W4XRoTOQnjgjczKVrsnA47KuC0krRQ==" saltValue="NZVaDybg0NiMjJabZ0qCEA==" spinCount="100000" sheet="1" objects="1" scenarios="1"/>
  <mergeCells count="1">
    <mergeCell ref="A1:H1"/>
  </mergeCells>
  <printOptions horizontalCentered="1"/>
  <pageMargins left="0.39370078740157483" right="0.19685039370078741" top="0.74803149606299213" bottom="0.94488188976377963" header="0.31496062992125984" footer="0.31496062992125984"/>
  <pageSetup paperSize="9" orientation="portrait" r:id="rId1"/>
  <headerFooter>
    <oddFooter>&amp;Cหน้า &amp;P / &amp;N</oddFooter>
  </headerFooter>
  <rowBreaks count="8" manualBreakCount="8">
    <brk id="2" max="16383" man="1"/>
    <brk id="11" max="16383" man="1"/>
    <brk id="19" max="16383" man="1"/>
    <brk id="44" max="16383" man="1"/>
    <brk id="60" max="16383" man="1"/>
    <brk id="71" max="16383" man="1"/>
    <brk id="91" max="16383" man="1"/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5451-99B1-42FE-A414-D44031D9022B}">
  <sheetPr codeName="Sheet8"/>
  <dimension ref="A1:S101"/>
  <sheetViews>
    <sheetView zoomScale="80" zoomScaleNormal="80" workbookViewId="0">
      <pane xSplit="6" ySplit="4" topLeftCell="G5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A100" sqref="A100:XFD453"/>
    </sheetView>
  </sheetViews>
  <sheetFormatPr defaultColWidth="9" defaultRowHeight="13" outlineLevelRow="2"/>
  <cols>
    <col min="1" max="1" width="5" style="4" customWidth="1"/>
    <col min="2" max="2" width="5" style="138" customWidth="1"/>
    <col min="3" max="3" width="7" style="4" hidden="1" customWidth="1"/>
    <col min="4" max="4" width="9" style="4"/>
    <col min="5" max="5" width="5.26953125" style="4" customWidth="1"/>
    <col min="6" max="6" width="13.26953125" style="4" customWidth="1"/>
    <col min="7" max="7" width="7.90625" style="4" customWidth="1"/>
    <col min="8" max="8" width="15" style="4" customWidth="1"/>
    <col min="9" max="9" width="16.08984375" style="4" customWidth="1"/>
    <col min="10" max="10" width="15.6328125" style="4" customWidth="1"/>
    <col min="11" max="11" width="16.08984375" style="4" customWidth="1"/>
    <col min="12" max="12" width="15.453125" style="4" customWidth="1"/>
    <col min="13" max="13" width="15" style="4" customWidth="1"/>
    <col min="14" max="14" width="14.453125" style="4" customWidth="1"/>
    <col min="15" max="15" width="15.36328125" style="4" customWidth="1"/>
    <col min="16" max="16" width="15.453125" style="4" customWidth="1"/>
    <col min="17" max="17" width="15.6328125" style="4" customWidth="1"/>
    <col min="18" max="18" width="11.7265625" style="4" customWidth="1"/>
    <col min="19" max="19" width="15.90625" style="4" customWidth="1"/>
    <col min="20" max="16384" width="9" style="4"/>
  </cols>
  <sheetData>
    <row r="1" spans="1:19" ht="21">
      <c r="A1" s="302" t="s">
        <v>420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</row>
    <row r="3" spans="1:19" s="67" customFormat="1" ht="21" customHeight="1">
      <c r="A3" s="9"/>
      <c r="B3" s="9"/>
      <c r="C3" s="9"/>
      <c r="D3" s="9"/>
      <c r="E3" s="9"/>
      <c r="F3" s="9"/>
      <c r="G3" s="10"/>
      <c r="H3" s="61" t="s">
        <v>222</v>
      </c>
      <c r="I3" s="12" t="s">
        <v>223</v>
      </c>
      <c r="J3" s="12" t="s">
        <v>224</v>
      </c>
      <c r="K3" s="12" t="s">
        <v>308</v>
      </c>
      <c r="L3" s="12" t="s">
        <v>226</v>
      </c>
      <c r="M3" s="12" t="s">
        <v>309</v>
      </c>
      <c r="N3" s="12" t="s">
        <v>235</v>
      </c>
      <c r="O3" s="10" t="s">
        <v>310</v>
      </c>
      <c r="P3" s="136" t="s">
        <v>228</v>
      </c>
      <c r="Q3" s="9" t="s">
        <v>311</v>
      </c>
      <c r="R3" s="10" t="s">
        <v>312</v>
      </c>
      <c r="S3" s="137" t="s">
        <v>313</v>
      </c>
    </row>
    <row r="4" spans="1:19" s="5" customFormat="1" ht="60" customHeight="1">
      <c r="A4" s="83" t="s">
        <v>261</v>
      </c>
      <c r="B4" s="83" t="s">
        <v>221</v>
      </c>
      <c r="C4" s="83"/>
      <c r="D4" s="83" t="s">
        <v>262</v>
      </c>
      <c r="E4" s="83" t="s">
        <v>319</v>
      </c>
      <c r="F4" s="83" t="s">
        <v>320</v>
      </c>
      <c r="G4" s="149" t="s">
        <v>421</v>
      </c>
      <c r="H4" s="6" t="s">
        <v>244</v>
      </c>
      <c r="I4" s="6" t="s">
        <v>245</v>
      </c>
      <c r="J4" s="6" t="s">
        <v>314</v>
      </c>
      <c r="K4" s="6" t="s">
        <v>247</v>
      </c>
      <c r="L4" s="6" t="s">
        <v>14</v>
      </c>
      <c r="M4" s="6" t="s">
        <v>248</v>
      </c>
      <c r="N4" s="11" t="s">
        <v>285</v>
      </c>
      <c r="O4" s="11" t="s">
        <v>315</v>
      </c>
      <c r="P4" s="6" t="s">
        <v>316</v>
      </c>
      <c r="Q4" s="6" t="s">
        <v>317</v>
      </c>
      <c r="R4" s="11" t="s">
        <v>281</v>
      </c>
      <c r="S4" s="70" t="s">
        <v>422</v>
      </c>
    </row>
    <row r="5" spans="1:19" s="139" customFormat="1" ht="15" customHeight="1" outlineLevel="2">
      <c r="A5" s="141">
        <v>499</v>
      </c>
      <c r="B5" s="141" t="s">
        <v>26</v>
      </c>
      <c r="C5" s="140" t="s">
        <v>27</v>
      </c>
      <c r="D5" s="142" t="s">
        <v>28</v>
      </c>
      <c r="E5" s="142" t="s">
        <v>29</v>
      </c>
      <c r="F5" s="142" t="s">
        <v>30</v>
      </c>
      <c r="G5" s="151">
        <f>VLOOKUP($E5,'4.เขตปรับKและเกลี่ยเงินเพิ่มฯ'!$E$16:$I$110,5,FALSE)</f>
        <v>1.1499999999999999</v>
      </c>
      <c r="H5" s="151">
        <f>VLOOKUP($E5,'4.เขตปรับKและเกลี่ยเงินเพิ่มฯ'!$E$16:$AO$110,14,FALSE)</f>
        <v>85073299.810000002</v>
      </c>
      <c r="I5" s="151">
        <f>VLOOKUP($E5,'4.เขตปรับKและเกลี่ยเงินเพิ่มฯ'!$E$16:$AO$110,15,FALSE)</f>
        <v>17069672.059999999</v>
      </c>
      <c r="J5" s="151">
        <f>VLOOKUP($E5,'4.เขตปรับKและเกลี่ยเงินเพิ่มฯ'!$E$16:$AO$110,16,FALSE)+VLOOKUP($E5,'4.เขตปรับKและเกลี่ยเงินเพิ่มฯ'!$E$16:$AO$110,17,FALSE)+VLOOKUP($E5,'4.เขตปรับKและเกลี่ยเงินเพิ่มฯ'!$E$16:$AO$110,18,FALSE)+VLOOKUP($E5,'4.เขตปรับKและเกลี่ยเงินเพิ่มฯ'!$E$16:$AO$110,19,FALSE)</f>
        <v>145311113.34</v>
      </c>
      <c r="K5" s="151">
        <f>VLOOKUP($E5,'4.เขตปรับKและเกลี่ยเงินเพิ่มฯ'!$E$16:$X$110,20,FALSE)</f>
        <v>247454085.21000001</v>
      </c>
      <c r="L5" s="151">
        <f>VLOOKUP($E5,'4.เขตปรับKและเกลี่ยเงินเพิ่มฯ'!$E$16:$AO$110,21,FALSE)</f>
        <v>101376915</v>
      </c>
      <c r="M5" s="151">
        <f>VLOOKUP($E5,'4.เขตปรับKและเกลี่ยเงินเพิ่มฯ'!$E$16:$AO$110,22,FALSE)</f>
        <v>146077170.21000001</v>
      </c>
      <c r="N5" s="151">
        <f>VLOOKUP($E5,'4.เขตปรับKและเกลี่ยเงินเพิ่มฯ'!$E$16:$AA$110,23,FALSE)</f>
        <v>0</v>
      </c>
      <c r="O5" s="151">
        <f>VLOOKUP($E5,'4.เขตปรับKและเกลี่ยเงินเพิ่มฯ'!$E$16:$AB$110,24,FALSE)</f>
        <v>146077170.21000001</v>
      </c>
      <c r="P5" s="151">
        <f>VLOOKUP($E5,'4.เขตปรับKและเกลี่ยเงินเพิ่มฯ'!$E$16:$AM$110,35,FALSE)</f>
        <v>0</v>
      </c>
      <c r="Q5" s="151">
        <f t="shared" ref="Q5:Q12" si="0">ROUND(O5-P5,2)</f>
        <v>146077170.21000001</v>
      </c>
      <c r="R5" s="151">
        <f>VLOOKUP($E5,'4.เขตปรับKและเกลี่ยเงินเพิ่มฯ'!$E$16:$AI$110,31,FALSE)</f>
        <v>0</v>
      </c>
      <c r="S5" s="151">
        <f>VLOOKUP($E5,'4.เขตปรับKและเกลี่ยเงินเพิ่มฯ'!$E$16:$AH$110,30,FALSE)</f>
        <v>123938225.91</v>
      </c>
    </row>
    <row r="6" spans="1:19" s="139" customFormat="1" ht="15" customHeight="1" outlineLevel="2">
      <c r="A6" s="82">
        <v>500</v>
      </c>
      <c r="B6" s="82" t="s">
        <v>26</v>
      </c>
      <c r="C6" s="140" t="s">
        <v>27</v>
      </c>
      <c r="D6" s="140" t="s">
        <v>28</v>
      </c>
      <c r="E6" s="140" t="s">
        <v>31</v>
      </c>
      <c r="F6" s="140" t="s">
        <v>32</v>
      </c>
      <c r="G6" s="151">
        <f>VLOOKUP($E6,'4.เขตปรับKและเกลี่ยเงินเพิ่มฯ'!$E$16:$I$110,5,FALSE)</f>
        <v>1.2</v>
      </c>
      <c r="H6" s="151">
        <f>VLOOKUP($E6,'4.เขตปรับKและเกลี่ยเงินเพิ่มฯ'!$E$16:$AO$110,14,FALSE)</f>
        <v>54911748.240000002</v>
      </c>
      <c r="I6" s="151">
        <f>VLOOKUP($E6,'4.เขตปรับKและเกลี่ยเงินเพิ่มฯ'!$E$16:$AO$110,15,FALSE)</f>
        <v>11017857.970000001</v>
      </c>
      <c r="J6" s="151">
        <f>VLOOKUP($E6,'4.เขตปรับKและเกลี่ยเงินเพิ่มฯ'!$E$16:$AO$110,16,FALSE)+VLOOKUP($E6,'4.เขตปรับKและเกลี่ยเงินเพิ่มฯ'!$E$16:$AO$110,17,FALSE)+VLOOKUP($E6,'4.เขตปรับKและเกลี่ยเงินเพิ่มฯ'!$E$16:$AO$110,18,FALSE)+VLOOKUP($E6,'4.เขตปรับKและเกลี่ยเงินเพิ่มฯ'!$E$16:$AO$110,19,FALSE)</f>
        <v>16558492.560000001</v>
      </c>
      <c r="K6" s="151">
        <f>VLOOKUP($E6,'4.เขตปรับKและเกลี่ยเงินเพิ่มฯ'!$E$16:$X$110,20,FALSE)</f>
        <v>82488098.769999996</v>
      </c>
      <c r="L6" s="151">
        <f>VLOOKUP($E6,'4.เขตปรับKและเกลี่ยเงินเพิ่มฯ'!$E$16:$AO$110,21,FALSE)</f>
        <v>28429536</v>
      </c>
      <c r="M6" s="151">
        <f>VLOOKUP($E6,'4.เขตปรับKและเกลี่ยเงินเพิ่มฯ'!$E$16:$AO$110,22,FALSE)</f>
        <v>54058562.770000003</v>
      </c>
      <c r="N6" s="151">
        <f>VLOOKUP($E6,'4.เขตปรับKและเกลี่ยเงินเพิ่มฯ'!$E$16:$AA$110,23,FALSE)</f>
        <v>0</v>
      </c>
      <c r="O6" s="151">
        <f>VLOOKUP($E6,'4.เขตปรับKและเกลี่ยเงินเพิ่มฯ'!$E$16:$AB$110,24,FALSE)</f>
        <v>54058562.770000003</v>
      </c>
      <c r="P6" s="151">
        <f>VLOOKUP($E6,'4.เขตปรับKและเกลี่ยเงินเพิ่มฯ'!$E$16:$AM$110,35,FALSE)</f>
        <v>0</v>
      </c>
      <c r="Q6" s="151">
        <f t="shared" si="0"/>
        <v>54058562.770000003</v>
      </c>
      <c r="R6" s="151">
        <f>VLOOKUP($E6,'4.เขตปรับKและเกลี่ยเงินเพิ่มฯ'!$E$16:$AI$110,31,FALSE)</f>
        <v>0</v>
      </c>
      <c r="S6" s="151">
        <f>VLOOKUP($E6,'4.เขตปรับKและเกลี่ยเงินเพิ่มฯ'!$E$16:$AH$110,30,FALSE)</f>
        <v>44026058.899999999</v>
      </c>
    </row>
    <row r="7" spans="1:19" s="139" customFormat="1" ht="15" customHeight="1" outlineLevel="2">
      <c r="A7" s="82">
        <v>501</v>
      </c>
      <c r="B7" s="82" t="s">
        <v>26</v>
      </c>
      <c r="C7" s="140" t="s">
        <v>27</v>
      </c>
      <c r="D7" s="140" t="s">
        <v>28</v>
      </c>
      <c r="E7" s="140" t="s">
        <v>33</v>
      </c>
      <c r="F7" s="140" t="s">
        <v>34</v>
      </c>
      <c r="G7" s="151">
        <f>VLOOKUP($E7,'4.เขตปรับKและเกลี่ยเงินเพิ่มฯ'!$E$16:$I$110,5,FALSE)</f>
        <v>1.1499999999999999</v>
      </c>
      <c r="H7" s="151">
        <f>VLOOKUP($E7,'4.เขตปรับKและเกลี่ยเงินเพิ่มฯ'!$E$16:$AO$110,14,FALSE)</f>
        <v>61479014.039999999</v>
      </c>
      <c r="I7" s="151">
        <f>VLOOKUP($E7,'4.เขตปรับKและเกลี่ยเงินเพิ่มฯ'!$E$16:$AO$110,15,FALSE)</f>
        <v>12335557.82</v>
      </c>
      <c r="J7" s="151">
        <f>VLOOKUP($E7,'4.เขตปรับKและเกลี่ยเงินเพิ่มฯ'!$E$16:$AO$110,16,FALSE)+VLOOKUP($E7,'4.เขตปรับKและเกลี่ยเงินเพิ่มฯ'!$E$16:$AO$110,17,FALSE)+VLOOKUP($E7,'4.เขตปรับKและเกลี่ยเงินเพิ่มฯ'!$E$16:$AO$110,18,FALSE)+VLOOKUP($E7,'4.เขตปรับKและเกลี่ยเงินเพิ่มฯ'!$E$16:$AO$110,19,FALSE)</f>
        <v>19647593.739999998</v>
      </c>
      <c r="K7" s="151">
        <f>VLOOKUP($E7,'4.เขตปรับKและเกลี่ยเงินเพิ่มฯ'!$E$16:$X$110,20,FALSE)</f>
        <v>93462165.600000009</v>
      </c>
      <c r="L7" s="151">
        <f>VLOOKUP($E7,'4.เขตปรับKและเกลี่ยเงินเพิ่มฯ'!$E$16:$AO$110,21,FALSE)</f>
        <v>32464321</v>
      </c>
      <c r="M7" s="151">
        <f>VLOOKUP($E7,'4.เขตปรับKและเกลี่ยเงินเพิ่มฯ'!$E$16:$AO$110,22,FALSE)</f>
        <v>60997844.600000001</v>
      </c>
      <c r="N7" s="151">
        <f>VLOOKUP($E7,'4.เขตปรับKและเกลี่ยเงินเพิ่มฯ'!$E$16:$AA$110,23,FALSE)</f>
        <v>0</v>
      </c>
      <c r="O7" s="151">
        <f>VLOOKUP($E7,'4.เขตปรับKและเกลี่ยเงินเพิ่มฯ'!$E$16:$AB$110,24,FALSE)</f>
        <v>60997844.600000001</v>
      </c>
      <c r="P7" s="151">
        <f>VLOOKUP($E7,'4.เขตปรับKและเกลี่ยเงินเพิ่มฯ'!$E$16:$AM$110,35,FALSE)</f>
        <v>0</v>
      </c>
      <c r="Q7" s="151">
        <f t="shared" si="0"/>
        <v>60997844.600000001</v>
      </c>
      <c r="R7" s="151">
        <f>VLOOKUP($E7,'4.เขตปรับKและเกลี่ยเงินเพิ่มฯ'!$E$16:$AI$110,31,FALSE)</f>
        <v>0</v>
      </c>
      <c r="S7" s="151">
        <f>VLOOKUP($E7,'4.เขตปรับKและเกลี่ยเงินเพิ่มฯ'!$E$16:$AH$110,30,FALSE)</f>
        <v>51369655.240000002</v>
      </c>
    </row>
    <row r="8" spans="1:19" s="139" customFormat="1" ht="15" customHeight="1" outlineLevel="2">
      <c r="A8" s="82">
        <v>502</v>
      </c>
      <c r="B8" s="82" t="s">
        <v>26</v>
      </c>
      <c r="C8" s="140" t="s">
        <v>27</v>
      </c>
      <c r="D8" s="140" t="s">
        <v>28</v>
      </c>
      <c r="E8" s="140" t="s">
        <v>35</v>
      </c>
      <c r="F8" s="140" t="s">
        <v>36</v>
      </c>
      <c r="G8" s="151">
        <f>VLOOKUP($E8,'4.เขตปรับKและเกลี่ยเงินเพิ่มฯ'!$E$16:$I$110,5,FALSE)</f>
        <v>1.1499999999999999</v>
      </c>
      <c r="H8" s="151">
        <f>VLOOKUP($E8,'4.เขตปรับKและเกลี่ยเงินเพิ่มฯ'!$E$16:$AO$110,14,FALSE)</f>
        <v>65846876.810000002</v>
      </c>
      <c r="I8" s="151">
        <f>VLOOKUP($E8,'4.เขตปรับKและเกลี่ยเงินเพิ่มฯ'!$E$16:$AO$110,15,FALSE)</f>
        <v>13211954.82</v>
      </c>
      <c r="J8" s="151">
        <f>VLOOKUP($E8,'4.เขตปรับKและเกลี่ยเงินเพิ่มฯ'!$E$16:$AO$110,16,FALSE)+VLOOKUP($E8,'4.เขตปรับKและเกลี่ยเงินเพิ่มฯ'!$E$16:$AO$110,17,FALSE)+VLOOKUP($E8,'4.เขตปรับKและเกลี่ยเงินเพิ่มฯ'!$E$16:$AO$110,18,FALSE)+VLOOKUP($E8,'4.เขตปรับKและเกลี่ยเงินเพิ่มฯ'!$E$16:$AO$110,19,FALSE)</f>
        <v>42768441.369999997</v>
      </c>
      <c r="K8" s="151">
        <f>VLOOKUP($E8,'4.เขตปรับKและเกลี่ยเงินเพิ่มฯ'!$E$16:$X$110,20,FALSE)</f>
        <v>121827273</v>
      </c>
      <c r="L8" s="151">
        <f>VLOOKUP($E8,'4.เขตปรับKและเกลี่ยเงินเพิ่มฯ'!$E$16:$AO$110,21,FALSE)</f>
        <v>48133371</v>
      </c>
      <c r="M8" s="151">
        <f>VLOOKUP($E8,'4.เขตปรับKและเกลี่ยเงินเพิ่มฯ'!$E$16:$AO$110,22,FALSE)</f>
        <v>73693902</v>
      </c>
      <c r="N8" s="151">
        <f>VLOOKUP($E8,'4.เขตปรับKและเกลี่ยเงินเพิ่มฯ'!$E$16:$AA$110,23,FALSE)</f>
        <v>0</v>
      </c>
      <c r="O8" s="151">
        <f>VLOOKUP($E8,'4.เขตปรับKและเกลี่ยเงินเพิ่มฯ'!$E$16:$AB$110,24,FALSE)</f>
        <v>73693902</v>
      </c>
      <c r="P8" s="151">
        <f>VLOOKUP($E8,'4.เขตปรับKและเกลี่ยเงินเพิ่มฯ'!$E$16:$AM$110,35,FALSE)</f>
        <v>0</v>
      </c>
      <c r="Q8" s="151">
        <f t="shared" si="0"/>
        <v>73693902</v>
      </c>
      <c r="R8" s="151">
        <f>VLOOKUP($E8,'4.เขตปรับKและเกลี่ยเงินเพิ่มฯ'!$E$16:$AI$110,31,FALSE)</f>
        <v>0</v>
      </c>
      <c r="S8" s="151">
        <f>VLOOKUP($E8,'4.เขตปรับKและเกลี่ยเงินเพิ่มฯ'!$E$16:$AH$110,30,FALSE)</f>
        <v>66417823.18</v>
      </c>
    </row>
    <row r="9" spans="1:19" s="139" customFormat="1" ht="15" customHeight="1" outlineLevel="2">
      <c r="A9" s="82">
        <v>503</v>
      </c>
      <c r="B9" s="82" t="s">
        <v>26</v>
      </c>
      <c r="C9" s="140" t="s">
        <v>27</v>
      </c>
      <c r="D9" s="140" t="s">
        <v>28</v>
      </c>
      <c r="E9" s="140" t="s">
        <v>37</v>
      </c>
      <c r="F9" s="140" t="s">
        <v>38</v>
      </c>
      <c r="G9" s="151">
        <f>VLOOKUP($E9,'4.เขตปรับKและเกลี่ยเงินเพิ่มฯ'!$E$16:$I$110,5,FALSE)</f>
        <v>1.25</v>
      </c>
      <c r="H9" s="151">
        <f>VLOOKUP($E9,'4.เขตปรับKและเกลี่ยเงินเพิ่มฯ'!$E$16:$AO$110,14,FALSE)</f>
        <v>43756809.380000003</v>
      </c>
      <c r="I9" s="151">
        <f>VLOOKUP($E9,'4.เขตปรับKและเกลี่ยเงินเพิ่มฯ'!$E$16:$AO$110,15,FALSE)</f>
        <v>8779656.9299999997</v>
      </c>
      <c r="J9" s="151">
        <f>VLOOKUP($E9,'4.เขตปรับKและเกลี่ยเงินเพิ่มฯ'!$E$16:$AO$110,16,FALSE)+VLOOKUP($E9,'4.เขตปรับKและเกลี่ยเงินเพิ่มฯ'!$E$16:$AO$110,17,FALSE)+VLOOKUP($E9,'4.เขตปรับKและเกลี่ยเงินเพิ่มฯ'!$E$16:$AO$110,18,FALSE)+VLOOKUP($E9,'4.เขตปรับKและเกลี่ยเงินเพิ่มฯ'!$E$16:$AO$110,19,FALSE)</f>
        <v>17721279.640000001</v>
      </c>
      <c r="K9" s="151">
        <f>VLOOKUP($E9,'4.เขตปรับKและเกลี่ยเงินเพิ่มฯ'!$E$16:$X$110,20,FALSE)</f>
        <v>70257745.950000003</v>
      </c>
      <c r="L9" s="151">
        <f>VLOOKUP($E9,'4.เขตปรับKและเกลี่ยเงินเพิ่มฯ'!$E$16:$AO$110,21,FALSE)</f>
        <v>27864419</v>
      </c>
      <c r="M9" s="151">
        <f>VLOOKUP($E9,'4.เขตปรับKและเกลี่ยเงินเพิ่มฯ'!$E$16:$AO$110,22,FALSE)</f>
        <v>42393326.950000003</v>
      </c>
      <c r="N9" s="151">
        <f>VLOOKUP($E9,'4.เขตปรับKและเกลี่ยเงินเพิ่มฯ'!$E$16:$AA$110,23,FALSE)</f>
        <v>0</v>
      </c>
      <c r="O9" s="151">
        <f>VLOOKUP($E9,'4.เขตปรับKและเกลี่ยเงินเพิ่มฯ'!$E$16:$AB$110,24,FALSE)</f>
        <v>42393326.950000003</v>
      </c>
      <c r="P9" s="151">
        <f>VLOOKUP($E9,'4.เขตปรับKและเกลี่ยเงินเพิ่มฯ'!$E$16:$AM$110,35,FALSE)</f>
        <v>0</v>
      </c>
      <c r="Q9" s="151">
        <f t="shared" si="0"/>
        <v>42393326.950000003</v>
      </c>
      <c r="R9" s="151">
        <f>VLOOKUP($E9,'4.เขตปรับKและเกลี่ยเงินเพิ่มฯ'!$E$16:$AI$110,31,FALSE)</f>
        <v>0</v>
      </c>
      <c r="S9" s="151">
        <f>VLOOKUP($E9,'4.เขตปรับKและเกลี่ยเงินเพิ่มฯ'!$E$16:$AH$110,30,FALSE)</f>
        <v>33769061.170000002</v>
      </c>
    </row>
    <row r="10" spans="1:19" s="139" customFormat="1" ht="15" customHeight="1" outlineLevel="2">
      <c r="A10" s="82">
        <v>504</v>
      </c>
      <c r="B10" s="82" t="s">
        <v>26</v>
      </c>
      <c r="C10" s="140" t="s">
        <v>27</v>
      </c>
      <c r="D10" s="140" t="s">
        <v>28</v>
      </c>
      <c r="E10" s="140" t="s">
        <v>39</v>
      </c>
      <c r="F10" s="140" t="s">
        <v>40</v>
      </c>
      <c r="G10" s="151">
        <f>VLOOKUP($E10,'4.เขตปรับKและเกลี่ยเงินเพิ่มฯ'!$E$16:$I$110,5,FALSE)</f>
        <v>1.25</v>
      </c>
      <c r="H10" s="151">
        <f>VLOOKUP($E10,'4.เขตปรับKและเกลี่ยเงินเพิ่มฯ'!$E$16:$AO$110,14,FALSE)</f>
        <v>43783852.280000001</v>
      </c>
      <c r="I10" s="151">
        <f>VLOOKUP($E10,'4.เขตปรับKและเกลี่ยเงินเพิ่มฯ'!$E$16:$AO$110,15,FALSE)</f>
        <v>8785083</v>
      </c>
      <c r="J10" s="151">
        <f>VLOOKUP($E10,'4.เขตปรับKและเกลี่ยเงินเพิ่มฯ'!$E$16:$AO$110,16,FALSE)+VLOOKUP($E10,'4.เขตปรับKและเกลี่ยเงินเพิ่มฯ'!$E$16:$AO$110,17,FALSE)+VLOOKUP($E10,'4.เขตปรับKและเกลี่ยเงินเพิ่มฯ'!$E$16:$AO$110,18,FALSE)+VLOOKUP($E10,'4.เขตปรับKและเกลี่ยเงินเพิ่มฯ'!$E$16:$AO$110,19,FALSE)</f>
        <v>20486120.119999997</v>
      </c>
      <c r="K10" s="151">
        <f>VLOOKUP($E10,'4.เขตปรับKและเกลี่ยเงินเพิ่มฯ'!$E$16:$X$110,20,FALSE)</f>
        <v>73055055.400000006</v>
      </c>
      <c r="L10" s="151">
        <f>VLOOKUP($E10,'4.เขตปรับKและเกลี่ยเงินเพิ่มฯ'!$E$16:$AO$110,21,FALSE)</f>
        <v>26086757</v>
      </c>
      <c r="M10" s="151">
        <f>VLOOKUP($E10,'4.เขตปรับKและเกลี่ยเงินเพิ่มฯ'!$E$16:$AO$110,22,FALSE)</f>
        <v>46968298.399999999</v>
      </c>
      <c r="N10" s="151">
        <f>VLOOKUP($E10,'4.เขตปรับKและเกลี่ยเงินเพิ่มฯ'!$E$16:$AA$110,23,FALSE)</f>
        <v>0</v>
      </c>
      <c r="O10" s="151">
        <f>VLOOKUP($E10,'4.เขตปรับKและเกลี่ยเงินเพิ่มฯ'!$E$16:$AB$110,24,FALSE)</f>
        <v>46968298.399999999</v>
      </c>
      <c r="P10" s="151">
        <f>VLOOKUP($E10,'4.เขตปรับKและเกลี่ยเงินเพิ่มฯ'!$E$16:$AM$110,35,FALSE)</f>
        <v>0</v>
      </c>
      <c r="Q10" s="151">
        <f t="shared" si="0"/>
        <v>46968298.399999999</v>
      </c>
      <c r="R10" s="151">
        <f>VLOOKUP($E10,'4.เขตปรับKและเกลี่ยเงินเพิ่มฯ'!$E$16:$AI$110,31,FALSE)</f>
        <v>0</v>
      </c>
      <c r="S10" s="151">
        <f>VLOOKUP($E10,'4.เขตปรับKและเกลี่ยเงินเพิ่มฯ'!$E$16:$AH$110,30,FALSE)</f>
        <v>41823960.869999997</v>
      </c>
    </row>
    <row r="11" spans="1:19" s="139" customFormat="1" ht="15" customHeight="1" outlineLevel="2">
      <c r="A11" s="82">
        <v>505</v>
      </c>
      <c r="B11" s="82" t="s">
        <v>26</v>
      </c>
      <c r="C11" s="140" t="s">
        <v>27</v>
      </c>
      <c r="D11" s="140" t="s">
        <v>28</v>
      </c>
      <c r="E11" s="140" t="s">
        <v>41</v>
      </c>
      <c r="F11" s="140" t="s">
        <v>42</v>
      </c>
      <c r="G11" s="151">
        <f>VLOOKUP($E11,'4.เขตปรับKและเกลี่ยเงินเพิ่มฯ'!$E$16:$I$110,5,FALSE)</f>
        <v>1.25</v>
      </c>
      <c r="H11" s="151">
        <f>VLOOKUP($E11,'4.เขตปรับKและเกลี่ยเงินเพิ่มฯ'!$E$16:$AO$110,14,FALSE)</f>
        <v>44673147.859999999</v>
      </c>
      <c r="I11" s="151">
        <f>VLOOKUP($E11,'4.เขตปรับKและเกลี่ยเงินเพิ่มฯ'!$E$16:$AO$110,15,FALSE)</f>
        <v>8963517.1699999999</v>
      </c>
      <c r="J11" s="151">
        <f>VLOOKUP($E11,'4.เขตปรับKและเกลี่ยเงินเพิ่มฯ'!$E$16:$AO$110,16,FALSE)+VLOOKUP($E11,'4.เขตปรับKและเกลี่ยเงินเพิ่มฯ'!$E$16:$AO$110,17,FALSE)+VLOOKUP($E11,'4.เขตปรับKและเกลี่ยเงินเพิ่มฯ'!$E$16:$AO$110,18,FALSE)+VLOOKUP($E11,'4.เขตปรับKและเกลี่ยเงินเพิ่มฯ'!$E$16:$AO$110,19,FALSE)</f>
        <v>13467781.430000002</v>
      </c>
      <c r="K11" s="151">
        <f>VLOOKUP($E11,'4.เขตปรับKและเกลี่ยเงินเพิ่มฯ'!$E$16:$X$110,20,FALSE)</f>
        <v>67104446.460000001</v>
      </c>
      <c r="L11" s="151">
        <f>VLOOKUP($E11,'4.เขตปรับKและเกลี่ยเงินเพิ่มฯ'!$E$16:$AO$110,21,FALSE)</f>
        <v>26571048</v>
      </c>
      <c r="M11" s="151">
        <f>VLOOKUP($E11,'4.เขตปรับKและเกลี่ยเงินเพิ่มฯ'!$E$16:$AO$110,22,FALSE)</f>
        <v>40533398.460000001</v>
      </c>
      <c r="N11" s="151">
        <f>VLOOKUP($E11,'4.เขตปรับKและเกลี่ยเงินเพิ่มฯ'!$E$16:$AA$110,23,FALSE)</f>
        <v>0</v>
      </c>
      <c r="O11" s="151">
        <f>VLOOKUP($E11,'4.เขตปรับKและเกลี่ยเงินเพิ่มฯ'!$E$16:$AB$110,24,FALSE)</f>
        <v>40533398.460000001</v>
      </c>
      <c r="P11" s="151">
        <f>VLOOKUP($E11,'4.เขตปรับKและเกลี่ยเงินเพิ่มฯ'!$E$16:$AM$110,35,FALSE)</f>
        <v>0</v>
      </c>
      <c r="Q11" s="151">
        <f t="shared" si="0"/>
        <v>40533398.460000001</v>
      </c>
      <c r="R11" s="151">
        <f>VLOOKUP($E11,'4.เขตปรับKและเกลี่ยเงินเพิ่มฯ'!$E$16:$AI$110,31,FALSE)</f>
        <v>0</v>
      </c>
      <c r="S11" s="151">
        <f>VLOOKUP($E11,'4.เขตปรับKและเกลี่ยเงินเพิ่มฯ'!$E$16:$AH$110,30,FALSE)</f>
        <v>36951909.200000003</v>
      </c>
    </row>
    <row r="12" spans="1:19" s="139" customFormat="1" ht="15" customHeight="1" outlineLevel="2">
      <c r="A12" s="82">
        <v>506</v>
      </c>
      <c r="B12" s="82" t="s">
        <v>26</v>
      </c>
      <c r="C12" s="140" t="s">
        <v>27</v>
      </c>
      <c r="D12" s="140" t="s">
        <v>28</v>
      </c>
      <c r="E12" s="140" t="s">
        <v>43</v>
      </c>
      <c r="F12" s="140" t="s">
        <v>44</v>
      </c>
      <c r="G12" s="151">
        <f>VLOOKUP($E12,'4.เขตปรับKและเกลี่ยเงินเพิ่มฯ'!$E$16:$I$110,5,FALSE)</f>
        <v>1.35</v>
      </c>
      <c r="H12" s="151">
        <f>VLOOKUP($E12,'4.เขตปรับKและเกลี่ยเงินเพิ่มฯ'!$E$16:$AO$110,14,FALSE)</f>
        <v>18379468.640000001</v>
      </c>
      <c r="I12" s="151">
        <f>VLOOKUP($E12,'4.เขตปรับKและเกลี่ยเงินเพิ่มฯ'!$E$16:$AO$110,15,FALSE)</f>
        <v>3687778.7</v>
      </c>
      <c r="J12" s="151">
        <f>VLOOKUP($E12,'4.เขตปรับKและเกลี่ยเงินเพิ่มฯ'!$E$16:$AO$110,16,FALSE)+VLOOKUP($E12,'4.เขตปรับKและเกลี่ยเงินเพิ่มฯ'!$E$16:$AO$110,17,FALSE)+VLOOKUP($E12,'4.เขตปรับKและเกลี่ยเงินเพิ่มฯ'!$E$16:$AO$110,18,FALSE)+VLOOKUP($E12,'4.เขตปรับKและเกลี่ยเงินเพิ่มฯ'!$E$16:$AO$110,19,FALSE)</f>
        <v>6706946.8899999997</v>
      </c>
      <c r="K12" s="151">
        <f>VLOOKUP($E12,'4.เขตปรับKและเกลี่ยเงินเพิ่มฯ'!$E$16:$X$110,20,FALSE)</f>
        <v>28774194.23</v>
      </c>
      <c r="L12" s="151">
        <f>VLOOKUP($E12,'4.เขตปรับKและเกลี่ยเงินเพิ่มฯ'!$E$16:$AO$110,21,FALSE)</f>
        <v>14468933</v>
      </c>
      <c r="M12" s="151">
        <f>VLOOKUP($E12,'4.เขตปรับKและเกลี่ยเงินเพิ่มฯ'!$E$16:$AO$110,22,FALSE)</f>
        <v>14305261.23</v>
      </c>
      <c r="N12" s="151">
        <f>VLOOKUP($E12,'4.เขตปรับKและเกลี่ยเงินเพิ่มฯ'!$E$16:$AA$110,23,FALSE)</f>
        <v>3412126.06</v>
      </c>
      <c r="O12" s="151">
        <f>VLOOKUP($E12,'4.เขตปรับKและเกลี่ยเงินเพิ่มฯ'!$E$16:$AB$110,24,FALSE)</f>
        <v>17717387.289999999</v>
      </c>
      <c r="P12" s="151">
        <f>VLOOKUP($E12,'4.เขตปรับKและเกลี่ยเงินเพิ่มฯ'!$E$16:$AM$110,35,FALSE)</f>
        <v>0</v>
      </c>
      <c r="Q12" s="151">
        <f t="shared" si="0"/>
        <v>17717387.289999999</v>
      </c>
      <c r="R12" s="151">
        <f>VLOOKUP($E12,'4.เขตปรับKและเกลี่ยเงินเพิ่มฯ'!$E$16:$AI$110,31,FALSE)</f>
        <v>0</v>
      </c>
      <c r="S12" s="151">
        <f>VLOOKUP($E12,'4.เขตปรับKและเกลี่ยเงินเพิ่มฯ'!$E$16:$AH$110,30,FALSE)</f>
        <v>17717387.289999999</v>
      </c>
    </row>
    <row r="13" spans="1:19" s="139" customFormat="1" ht="15" customHeight="1" outlineLevel="1">
      <c r="A13" s="153"/>
      <c r="B13" s="153"/>
      <c r="C13" s="152"/>
      <c r="D13" s="154" t="s">
        <v>263</v>
      </c>
      <c r="E13" s="155"/>
      <c r="F13" s="155"/>
      <c r="G13" s="156"/>
      <c r="H13" s="156">
        <f t="shared" ref="H13:S13" si="1">SUBTOTAL(9,H5:H12)</f>
        <v>417904217.06000006</v>
      </c>
      <c r="I13" s="156">
        <f t="shared" si="1"/>
        <v>83851078.469999999</v>
      </c>
      <c r="J13" s="156">
        <f t="shared" si="1"/>
        <v>282667769.09000003</v>
      </c>
      <c r="K13" s="156">
        <f t="shared" si="1"/>
        <v>784423064.62000012</v>
      </c>
      <c r="L13" s="156">
        <f t="shared" si="1"/>
        <v>305395300</v>
      </c>
      <c r="M13" s="156">
        <f t="shared" si="1"/>
        <v>479027764.62</v>
      </c>
      <c r="N13" s="156">
        <f t="shared" si="1"/>
        <v>3412126.06</v>
      </c>
      <c r="O13" s="156">
        <f t="shared" si="1"/>
        <v>482439890.68000001</v>
      </c>
      <c r="P13" s="156">
        <f t="shared" si="1"/>
        <v>0</v>
      </c>
      <c r="Q13" s="156">
        <f t="shared" si="1"/>
        <v>482439890.68000001</v>
      </c>
      <c r="R13" s="156">
        <f t="shared" si="1"/>
        <v>0</v>
      </c>
      <c r="S13" s="156">
        <f t="shared" si="1"/>
        <v>416014081.76000005</v>
      </c>
    </row>
    <row r="14" spans="1:19" s="139" customFormat="1" ht="15" customHeight="1" outlineLevel="2">
      <c r="A14" s="141">
        <v>507</v>
      </c>
      <c r="B14" s="141" t="s">
        <v>26</v>
      </c>
      <c r="C14" s="140" t="s">
        <v>45</v>
      </c>
      <c r="D14" s="142" t="s">
        <v>46</v>
      </c>
      <c r="E14" s="142" t="s">
        <v>47</v>
      </c>
      <c r="F14" s="142" t="s">
        <v>48</v>
      </c>
      <c r="G14" s="151">
        <f>VLOOKUP($E14,'4.เขตปรับKและเกลี่ยเงินเพิ่มฯ'!$E$16:$I$110,5,FALSE)</f>
        <v>1.1000000000000001</v>
      </c>
      <c r="H14" s="151">
        <f>VLOOKUP($E14,'4.เขตปรับKและเกลี่ยเงินเพิ่มฯ'!$E$16:$AO$110,14,FALSE)</f>
        <v>109636286.91</v>
      </c>
      <c r="I14" s="151">
        <f>VLOOKUP($E14,'4.เขตปรับKและเกลี่ยเงินเพิ่มฯ'!$E$16:$AO$110,15,FALSE)</f>
        <v>21201332.579999998</v>
      </c>
      <c r="J14" s="151">
        <f>VLOOKUP($E14,'4.เขตปรับKและเกลี่ยเงินเพิ่มฯ'!$E$16:$AO$110,16,FALSE)+VLOOKUP($E14,'4.เขตปรับKและเกลี่ยเงินเพิ่มฯ'!$E$16:$AO$110,17,FALSE)+VLOOKUP($E14,'4.เขตปรับKและเกลี่ยเงินเพิ่มฯ'!$E$16:$AO$110,18,FALSE)+VLOOKUP($E14,'4.เขตปรับKและเกลี่ยเงินเพิ่มฯ'!$E$16:$AO$110,19,FALSE)</f>
        <v>188984814.31999999</v>
      </c>
      <c r="K14" s="151">
        <f>VLOOKUP($E14,'4.เขตปรับKและเกลี่ยเงินเพิ่มฯ'!$E$16:$X$110,20,FALSE)</f>
        <v>319822433.81</v>
      </c>
      <c r="L14" s="151">
        <f>VLOOKUP($E14,'4.เขตปรับKและเกลี่ยเงินเพิ่มฯ'!$E$16:$AO$110,21,FALSE)</f>
        <v>167124155</v>
      </c>
      <c r="M14" s="151">
        <f>VLOOKUP($E14,'4.เขตปรับKและเกลี่ยเงินเพิ่มฯ'!$E$16:$AO$110,22,FALSE)</f>
        <v>152698278.81</v>
      </c>
      <c r="N14" s="151">
        <f>VLOOKUP($E14,'4.เขตปรับKและเกลี่ยเงินเพิ่มฯ'!$E$16:$AA$110,23,FALSE)</f>
        <v>0</v>
      </c>
      <c r="O14" s="151">
        <f>VLOOKUP($E14,'4.เขตปรับKและเกลี่ยเงินเพิ่มฯ'!$E$16:$AB$110,24,FALSE)</f>
        <v>152698278.81</v>
      </c>
      <c r="P14" s="151">
        <f>VLOOKUP($E14,'4.เขตปรับKและเกลี่ยเงินเพิ่มฯ'!$E$16:$AM$110,35,FALSE)</f>
        <v>0</v>
      </c>
      <c r="Q14" s="151">
        <f t="shared" ref="Q14:Q19" si="2">ROUND(O14-P14,2)</f>
        <v>152698278.81</v>
      </c>
      <c r="R14" s="151">
        <f>VLOOKUP($E14,'4.เขตปรับKและเกลี่ยเงินเพิ่มฯ'!$E$16:$AI$110,31,FALSE)</f>
        <v>0</v>
      </c>
      <c r="S14" s="151">
        <f>VLOOKUP($E14,'4.เขตปรับKและเกลี่ยเงินเพิ่มฯ'!$E$16:$AH$110,30,FALSE)</f>
        <v>141294727.50999999</v>
      </c>
    </row>
    <row r="15" spans="1:19" s="139" customFormat="1" ht="15" customHeight="1" outlineLevel="2">
      <c r="A15" s="82">
        <v>508</v>
      </c>
      <c r="B15" s="82" t="s">
        <v>26</v>
      </c>
      <c r="C15" s="140" t="s">
        <v>45</v>
      </c>
      <c r="D15" s="140" t="s">
        <v>46</v>
      </c>
      <c r="E15" s="140" t="s">
        <v>49</v>
      </c>
      <c r="F15" s="140" t="s">
        <v>50</v>
      </c>
      <c r="G15" s="151">
        <f>VLOOKUP($E15,'4.เขตปรับKและเกลี่ยเงินเพิ่มฯ'!$E$16:$I$110,5,FALSE)</f>
        <v>1.1000000000000001</v>
      </c>
      <c r="H15" s="151">
        <f>VLOOKUP($E15,'4.เขตปรับKและเกลี่ยเงินเพิ่มฯ'!$E$16:$AO$110,14,FALSE)</f>
        <v>82850477.079999998</v>
      </c>
      <c r="I15" s="151">
        <f>VLOOKUP($E15,'4.เขตปรับKและเกลี่ยเงินเพิ่มฯ'!$E$16:$AO$110,15,FALSE)</f>
        <v>16021525.08</v>
      </c>
      <c r="J15" s="151">
        <f>VLOOKUP($E15,'4.เขตปรับKและเกลี่ยเงินเพิ่มฯ'!$E$16:$AO$110,16,FALSE)+VLOOKUP($E15,'4.เขตปรับKและเกลี่ยเงินเพิ่มฯ'!$E$16:$AO$110,17,FALSE)+VLOOKUP($E15,'4.เขตปรับKและเกลี่ยเงินเพิ่มฯ'!$E$16:$AO$110,18,FALSE)+VLOOKUP($E15,'4.เขตปรับKและเกลี่ยเงินเพิ่มฯ'!$E$16:$AO$110,19,FALSE)</f>
        <v>26599264.299999997</v>
      </c>
      <c r="K15" s="151">
        <f>VLOOKUP($E15,'4.เขตปรับKและเกลี่ยเงินเพิ่มฯ'!$E$16:$X$110,20,FALSE)</f>
        <v>125471266.45999999</v>
      </c>
      <c r="L15" s="151">
        <f>VLOOKUP($E15,'4.เขตปรับKและเกลี่ยเงินเพิ่มฯ'!$E$16:$AO$110,21,FALSE)</f>
        <v>50080373</v>
      </c>
      <c r="M15" s="151">
        <f>VLOOKUP($E15,'4.เขตปรับKและเกลี่ยเงินเพิ่มฯ'!$E$16:$AO$110,22,FALSE)</f>
        <v>75390893.459999993</v>
      </c>
      <c r="N15" s="151">
        <f>VLOOKUP($E15,'4.เขตปรับKและเกลี่ยเงินเพิ่มฯ'!$E$16:$AA$110,23,FALSE)</f>
        <v>0</v>
      </c>
      <c r="O15" s="151">
        <f>VLOOKUP($E15,'4.เขตปรับKและเกลี่ยเงินเพิ่มฯ'!$E$16:$AB$110,24,FALSE)</f>
        <v>75390893.459999993</v>
      </c>
      <c r="P15" s="151">
        <f>VLOOKUP($E15,'4.เขตปรับKและเกลี่ยเงินเพิ่มฯ'!$E$16:$AM$110,35,FALSE)</f>
        <v>0</v>
      </c>
      <c r="Q15" s="151">
        <f t="shared" si="2"/>
        <v>75390893.459999993</v>
      </c>
      <c r="R15" s="151">
        <f>VLOOKUP($E15,'4.เขตปรับKและเกลี่ยเงินเพิ่มฯ'!$E$16:$AI$110,31,FALSE)</f>
        <v>0</v>
      </c>
      <c r="S15" s="151">
        <f>VLOOKUP($E15,'4.เขตปรับKและเกลี่ยเงินเพิ่มฯ'!$E$16:$AH$110,30,FALSE)</f>
        <v>61157984.479999997</v>
      </c>
    </row>
    <row r="16" spans="1:19" s="139" customFormat="1" ht="15" customHeight="1" outlineLevel="2">
      <c r="A16" s="82">
        <v>509</v>
      </c>
      <c r="B16" s="82" t="s">
        <v>26</v>
      </c>
      <c r="C16" s="140" t="s">
        <v>45</v>
      </c>
      <c r="D16" s="140" t="s">
        <v>46</v>
      </c>
      <c r="E16" s="140" t="s">
        <v>51</v>
      </c>
      <c r="F16" s="140" t="s">
        <v>52</v>
      </c>
      <c r="G16" s="151">
        <f>VLOOKUP($E16,'4.เขตปรับKและเกลี่ยเงินเพิ่มฯ'!$E$16:$I$110,5,FALSE)</f>
        <v>1.2</v>
      </c>
      <c r="H16" s="151">
        <f>VLOOKUP($E16,'4.เขตปรับKและเกลี่ยเงินเพิ่มฯ'!$E$16:$AO$110,14,FALSE)</f>
        <v>62870283.719999999</v>
      </c>
      <c r="I16" s="151">
        <f>VLOOKUP($E16,'4.เขตปรับKและเกลี่ยเงินเพิ่มฯ'!$E$16:$AO$110,15,FALSE)</f>
        <v>12157779.439999999</v>
      </c>
      <c r="J16" s="151">
        <f>VLOOKUP($E16,'4.เขตปรับKและเกลี่ยเงินเพิ่มฯ'!$E$16:$AO$110,16,FALSE)+VLOOKUP($E16,'4.เขตปรับKและเกลี่ยเงินเพิ่มฯ'!$E$16:$AO$110,17,FALSE)+VLOOKUP($E16,'4.เขตปรับKและเกลี่ยเงินเพิ่มฯ'!$E$16:$AO$110,18,FALSE)+VLOOKUP($E16,'4.เขตปรับKและเกลี่ยเงินเพิ่มฯ'!$E$16:$AO$110,19,FALSE)</f>
        <v>16027102.77</v>
      </c>
      <c r="K16" s="151">
        <f>VLOOKUP($E16,'4.เขตปรับKและเกลี่ยเงินเพิ่มฯ'!$E$16:$X$110,20,FALSE)</f>
        <v>91055165.929999992</v>
      </c>
      <c r="L16" s="151">
        <f>VLOOKUP($E16,'4.เขตปรับKและเกลี่ยเงินเพิ่มฯ'!$E$16:$AO$110,21,FALSE)</f>
        <v>37514596</v>
      </c>
      <c r="M16" s="151">
        <f>VLOOKUP($E16,'4.เขตปรับKและเกลี่ยเงินเพิ่มฯ'!$E$16:$AO$110,22,FALSE)</f>
        <v>53540569.93</v>
      </c>
      <c r="N16" s="151">
        <f>VLOOKUP($E16,'4.เขตปรับKและเกลี่ยเงินเพิ่มฯ'!$E$16:$AA$110,23,FALSE)</f>
        <v>0</v>
      </c>
      <c r="O16" s="151">
        <f>VLOOKUP($E16,'4.เขตปรับKและเกลี่ยเงินเพิ่มฯ'!$E$16:$AB$110,24,FALSE)</f>
        <v>53540569.93</v>
      </c>
      <c r="P16" s="151">
        <f>VLOOKUP($E16,'4.เขตปรับKและเกลี่ยเงินเพิ่มฯ'!$E$16:$AM$110,35,FALSE)</f>
        <v>0</v>
      </c>
      <c r="Q16" s="151">
        <f t="shared" si="2"/>
        <v>53540569.93</v>
      </c>
      <c r="R16" s="151">
        <f>VLOOKUP($E16,'4.เขตปรับKและเกลี่ยเงินเพิ่มฯ'!$E$16:$AI$110,31,FALSE)</f>
        <v>0</v>
      </c>
      <c r="S16" s="151">
        <f>VLOOKUP($E16,'4.เขตปรับKและเกลี่ยเงินเพิ่มฯ'!$E$16:$AH$110,30,FALSE)</f>
        <v>44103371.259999998</v>
      </c>
    </row>
    <row r="17" spans="1:19" s="139" customFormat="1" ht="15" customHeight="1" outlineLevel="2">
      <c r="A17" s="82">
        <v>510</v>
      </c>
      <c r="B17" s="82" t="s">
        <v>26</v>
      </c>
      <c r="C17" s="140" t="s">
        <v>45</v>
      </c>
      <c r="D17" s="140" t="s">
        <v>46</v>
      </c>
      <c r="E17" s="140" t="s">
        <v>53</v>
      </c>
      <c r="F17" s="140" t="s">
        <v>54</v>
      </c>
      <c r="G17" s="151">
        <f>VLOOKUP($E17,'4.เขตปรับKและเกลี่ยเงินเพิ่มฯ'!$E$16:$I$110,5,FALSE)</f>
        <v>1.1000000000000001</v>
      </c>
      <c r="H17" s="151">
        <f>VLOOKUP($E17,'4.เขตปรับKและเกลี่ยเงินเพิ่มฯ'!$E$16:$AO$110,14,FALSE)</f>
        <v>93943802.790000007</v>
      </c>
      <c r="I17" s="151">
        <f>VLOOKUP($E17,'4.เขตปรับKและเกลี่ยเงินเพิ่มฯ'!$E$16:$AO$110,15,FALSE)</f>
        <v>18166738.98</v>
      </c>
      <c r="J17" s="151">
        <f>VLOOKUP($E17,'4.เขตปรับKและเกลี่ยเงินเพิ่มฯ'!$E$16:$AO$110,16,FALSE)+VLOOKUP($E17,'4.เขตปรับKและเกลี่ยเงินเพิ่มฯ'!$E$16:$AO$110,17,FALSE)+VLOOKUP($E17,'4.เขตปรับKและเกลี่ยเงินเพิ่มฯ'!$E$16:$AO$110,18,FALSE)+VLOOKUP($E17,'4.เขตปรับKและเกลี่ยเงินเพิ่มฯ'!$E$16:$AO$110,19,FALSE)</f>
        <v>39277771.18</v>
      </c>
      <c r="K17" s="151">
        <f>VLOOKUP($E17,'4.เขตปรับKและเกลี่ยเงินเพิ่มฯ'!$E$16:$X$110,20,FALSE)</f>
        <v>151388312.95000002</v>
      </c>
      <c r="L17" s="151">
        <f>VLOOKUP($E17,'4.เขตปรับKและเกลี่ยเงินเพิ่มฯ'!$E$16:$AO$110,21,FALSE)</f>
        <v>56912063</v>
      </c>
      <c r="M17" s="151">
        <f>VLOOKUP($E17,'4.เขตปรับKและเกลี่ยเงินเพิ่มฯ'!$E$16:$AO$110,22,FALSE)</f>
        <v>94476249.950000003</v>
      </c>
      <c r="N17" s="151">
        <f>VLOOKUP($E17,'4.เขตปรับKและเกลี่ยเงินเพิ่มฯ'!$E$16:$AA$110,23,FALSE)</f>
        <v>0</v>
      </c>
      <c r="O17" s="151">
        <f>VLOOKUP($E17,'4.เขตปรับKและเกลี่ยเงินเพิ่มฯ'!$E$16:$AB$110,24,FALSE)</f>
        <v>94476249.950000003</v>
      </c>
      <c r="P17" s="151">
        <f>VLOOKUP($E17,'4.เขตปรับKและเกลี่ยเงินเพิ่มฯ'!$E$16:$AM$110,35,FALSE)</f>
        <v>0</v>
      </c>
      <c r="Q17" s="151">
        <f t="shared" si="2"/>
        <v>94476249.950000003</v>
      </c>
      <c r="R17" s="151">
        <f>VLOOKUP($E17,'4.เขตปรับKและเกลี่ยเงินเพิ่มฯ'!$E$16:$AI$110,31,FALSE)</f>
        <v>0</v>
      </c>
      <c r="S17" s="151">
        <f>VLOOKUP($E17,'4.เขตปรับKและเกลี่ยเงินเพิ่มฯ'!$E$16:$AH$110,30,FALSE)</f>
        <v>80772087.849999994</v>
      </c>
    </row>
    <row r="18" spans="1:19" s="139" customFormat="1" ht="15" customHeight="1" outlineLevel="2">
      <c r="A18" s="82">
        <v>511</v>
      </c>
      <c r="B18" s="82" t="s">
        <v>26</v>
      </c>
      <c r="C18" s="140" t="s">
        <v>45</v>
      </c>
      <c r="D18" s="140" t="s">
        <v>46</v>
      </c>
      <c r="E18" s="140" t="s">
        <v>55</v>
      </c>
      <c r="F18" s="140" t="s">
        <v>56</v>
      </c>
      <c r="G18" s="151">
        <f>VLOOKUP($E18,'4.เขตปรับKและเกลี่ยเงินเพิ่มฯ'!$E$16:$I$110,5,FALSE)</f>
        <v>1.1499999999999999</v>
      </c>
      <c r="H18" s="151">
        <f>VLOOKUP($E18,'4.เขตปรับKและเกลี่ยเงินเพิ่มฯ'!$E$16:$AO$110,14,FALSE)</f>
        <v>68827856.780000001</v>
      </c>
      <c r="I18" s="151">
        <f>VLOOKUP($E18,'4.เขตปรับKและเกลี่ยเงินเพิ่มฯ'!$E$16:$AO$110,15,FALSE)</f>
        <v>13309847.710000001</v>
      </c>
      <c r="J18" s="151">
        <f>VLOOKUP($E18,'4.เขตปรับKและเกลี่ยเงินเพิ่มฯ'!$E$16:$AO$110,16,FALSE)+VLOOKUP($E18,'4.เขตปรับKและเกลี่ยเงินเพิ่มฯ'!$E$16:$AO$110,17,FALSE)+VLOOKUP($E18,'4.เขตปรับKและเกลี่ยเงินเพิ่มฯ'!$E$16:$AO$110,18,FALSE)+VLOOKUP($E18,'4.เขตปรับKและเกลี่ยเงินเพิ่มฯ'!$E$16:$AO$110,19,FALSE)</f>
        <v>19395863.5</v>
      </c>
      <c r="K18" s="151">
        <f>VLOOKUP($E18,'4.เขตปรับKและเกลี่ยเงินเพิ่มฯ'!$E$16:$X$110,20,FALSE)</f>
        <v>101533567.99000001</v>
      </c>
      <c r="L18" s="151">
        <f>VLOOKUP($E18,'4.เขตปรับKและเกลี่ยเงินเพิ่มฯ'!$E$16:$AO$110,21,FALSE)</f>
        <v>36102465</v>
      </c>
      <c r="M18" s="151">
        <f>VLOOKUP($E18,'4.เขตปรับKและเกลี่ยเงินเพิ่มฯ'!$E$16:$AO$110,22,FALSE)</f>
        <v>65431102.990000002</v>
      </c>
      <c r="N18" s="151">
        <f>VLOOKUP($E18,'4.เขตปรับKและเกลี่ยเงินเพิ่มฯ'!$E$16:$AA$110,23,FALSE)</f>
        <v>0</v>
      </c>
      <c r="O18" s="151">
        <f>VLOOKUP($E18,'4.เขตปรับKและเกลี่ยเงินเพิ่มฯ'!$E$16:$AB$110,24,FALSE)</f>
        <v>65431102.990000002</v>
      </c>
      <c r="P18" s="151">
        <f>VLOOKUP($E18,'4.เขตปรับKและเกลี่ยเงินเพิ่มฯ'!$E$16:$AM$110,35,FALSE)</f>
        <v>0</v>
      </c>
      <c r="Q18" s="151">
        <f t="shared" si="2"/>
        <v>65431102.990000002</v>
      </c>
      <c r="R18" s="151">
        <f>VLOOKUP($E18,'4.เขตปรับKและเกลี่ยเงินเพิ่มฯ'!$E$16:$AI$110,31,FALSE)</f>
        <v>0</v>
      </c>
      <c r="S18" s="151">
        <f>VLOOKUP($E18,'4.เขตปรับKและเกลี่ยเงินเพิ่มฯ'!$E$16:$AH$110,30,FALSE)</f>
        <v>55633640.189999998</v>
      </c>
    </row>
    <row r="19" spans="1:19" s="139" customFormat="1" ht="15" customHeight="1" outlineLevel="2">
      <c r="A19" s="82">
        <v>512</v>
      </c>
      <c r="B19" s="82" t="s">
        <v>26</v>
      </c>
      <c r="C19" s="140" t="s">
        <v>45</v>
      </c>
      <c r="D19" s="140" t="s">
        <v>46</v>
      </c>
      <c r="E19" s="140" t="s">
        <v>57</v>
      </c>
      <c r="F19" s="140" t="s">
        <v>58</v>
      </c>
      <c r="G19" s="151">
        <f>VLOOKUP($E19,'4.เขตปรับKและเกลี่ยเงินเพิ่มฯ'!$E$16:$I$110,5,FALSE)</f>
        <v>1.3</v>
      </c>
      <c r="H19" s="151">
        <f>VLOOKUP($E19,'4.เขตปรับKและเกลี่ยเงินเพิ่มฯ'!$E$16:$AO$110,14,FALSE)</f>
        <v>43255485.259999998</v>
      </c>
      <c r="I19" s="151">
        <f>VLOOKUP($E19,'4.เขตปรับKและเกลี่ยเงินเพิ่มฯ'!$E$16:$AO$110,15,FALSE)</f>
        <v>8364693.4299999997</v>
      </c>
      <c r="J19" s="151">
        <f>VLOOKUP($E19,'4.เขตปรับKและเกลี่ยเงินเพิ่มฯ'!$E$16:$AO$110,16,FALSE)+VLOOKUP($E19,'4.เขตปรับKและเกลี่ยเงินเพิ่มฯ'!$E$16:$AO$110,17,FALSE)+VLOOKUP($E19,'4.เขตปรับKและเกลี่ยเงินเพิ่มฯ'!$E$16:$AO$110,18,FALSE)+VLOOKUP($E19,'4.เขตปรับKและเกลี่ยเงินเพิ่มฯ'!$E$16:$AO$110,19,FALSE)</f>
        <v>14880249.57</v>
      </c>
      <c r="K19" s="151">
        <f>VLOOKUP($E19,'4.เขตปรับKและเกลี่ยเงินเพิ่มฯ'!$E$16:$X$110,20,FALSE)</f>
        <v>66500428.259999998</v>
      </c>
      <c r="L19" s="151">
        <f>VLOOKUP($E19,'4.เขตปรับKและเกลี่ยเงินเพิ่มฯ'!$E$16:$AO$110,21,FALSE)</f>
        <v>22396448</v>
      </c>
      <c r="M19" s="151">
        <f>VLOOKUP($E19,'4.เขตปรับKและเกลี่ยเงินเพิ่มฯ'!$E$16:$AO$110,22,FALSE)</f>
        <v>44103980.259999998</v>
      </c>
      <c r="N19" s="151">
        <f>VLOOKUP($E19,'4.เขตปรับKและเกลี่ยเงินเพิ่มฯ'!$E$16:$AA$110,23,FALSE)</f>
        <v>0</v>
      </c>
      <c r="O19" s="151">
        <f>VLOOKUP($E19,'4.เขตปรับKและเกลี่ยเงินเพิ่มฯ'!$E$16:$AB$110,24,FALSE)</f>
        <v>44103980.259999998</v>
      </c>
      <c r="P19" s="151">
        <f>VLOOKUP($E19,'4.เขตปรับKและเกลี่ยเงินเพิ่มฯ'!$E$16:$AM$110,35,FALSE)</f>
        <v>0</v>
      </c>
      <c r="Q19" s="151">
        <f t="shared" si="2"/>
        <v>44103980.259999998</v>
      </c>
      <c r="R19" s="151">
        <f>VLOOKUP($E19,'4.เขตปรับKและเกลี่ยเงินเพิ่มฯ'!$E$16:$AI$110,31,FALSE)</f>
        <v>0</v>
      </c>
      <c r="S19" s="151">
        <f>VLOOKUP($E19,'4.เขตปรับKและเกลี่ยเงินเพิ่มฯ'!$E$16:$AH$110,30,FALSE)</f>
        <v>35818298.969999999</v>
      </c>
    </row>
    <row r="20" spans="1:19" s="139" customFormat="1" ht="15" customHeight="1" outlineLevel="1">
      <c r="A20" s="153"/>
      <c r="B20" s="153"/>
      <c r="C20" s="152"/>
      <c r="D20" s="154" t="s">
        <v>264</v>
      </c>
      <c r="E20" s="155"/>
      <c r="F20" s="155"/>
      <c r="G20" s="156"/>
      <c r="H20" s="156">
        <f t="shared" ref="H20:S20" si="3">SUBTOTAL(9,H14:H19)</f>
        <v>461384192.53999996</v>
      </c>
      <c r="I20" s="156">
        <f t="shared" si="3"/>
        <v>89221917.219999999</v>
      </c>
      <c r="J20" s="156">
        <f t="shared" si="3"/>
        <v>305165065.63999999</v>
      </c>
      <c r="K20" s="156">
        <f t="shared" si="3"/>
        <v>855771175.39999998</v>
      </c>
      <c r="L20" s="156">
        <f t="shared" si="3"/>
        <v>370130100</v>
      </c>
      <c r="M20" s="156">
        <f t="shared" si="3"/>
        <v>485641075.39999998</v>
      </c>
      <c r="N20" s="156">
        <f t="shared" si="3"/>
        <v>0</v>
      </c>
      <c r="O20" s="156">
        <f t="shared" si="3"/>
        <v>485641075.39999998</v>
      </c>
      <c r="P20" s="156">
        <f t="shared" si="3"/>
        <v>0</v>
      </c>
      <c r="Q20" s="156">
        <f t="shared" si="3"/>
        <v>485641075.39999998</v>
      </c>
      <c r="R20" s="156">
        <f t="shared" si="3"/>
        <v>0</v>
      </c>
      <c r="S20" s="156">
        <f t="shared" si="3"/>
        <v>418780110.25999999</v>
      </c>
    </row>
    <row r="21" spans="1:19" s="139" customFormat="1" ht="15" customHeight="1" outlineLevel="2">
      <c r="A21" s="141">
        <v>513</v>
      </c>
      <c r="B21" s="141" t="s">
        <v>26</v>
      </c>
      <c r="C21" s="140" t="s">
        <v>59</v>
      </c>
      <c r="D21" s="142" t="s">
        <v>60</v>
      </c>
      <c r="E21" s="142" t="s">
        <v>61</v>
      </c>
      <c r="F21" s="142" t="s">
        <v>62</v>
      </c>
      <c r="G21" s="151">
        <f>VLOOKUP($E21,'4.เขตปรับKและเกลี่ยเงินเพิ่มฯ'!$E$16:$I$110,5,FALSE)</f>
        <v>1</v>
      </c>
      <c r="H21" s="151">
        <f>VLOOKUP($E21,'4.เขตปรับKและเกลี่ยเงินเพิ่มฯ'!$E$16:$AO$110,14,FALSE)</f>
        <v>224638712.25</v>
      </c>
      <c r="I21" s="151">
        <f>VLOOKUP($E21,'4.เขตปรับKและเกลี่ยเงินเพิ่มฯ'!$E$16:$AO$110,15,FALSE)</f>
        <v>44029147.68</v>
      </c>
      <c r="J21" s="151">
        <f>VLOOKUP($E21,'4.เขตปรับKและเกลี่ยเงินเพิ่มฯ'!$E$16:$AO$110,16,FALSE)+VLOOKUP($E21,'4.เขตปรับKและเกลี่ยเงินเพิ่มฯ'!$E$16:$AO$110,17,FALSE)+VLOOKUP($E21,'4.เขตปรับKและเกลี่ยเงินเพิ่มฯ'!$E$16:$AO$110,18,FALSE)+VLOOKUP($E21,'4.เขตปรับKและเกลี่ยเงินเพิ่มฯ'!$E$16:$AO$110,19,FALSE)</f>
        <v>887133234.90999997</v>
      </c>
      <c r="K21" s="151">
        <f>VLOOKUP($E21,'4.เขตปรับKและเกลี่ยเงินเพิ่มฯ'!$E$16:$X$110,20,FALSE)</f>
        <v>1155801094.8400002</v>
      </c>
      <c r="L21" s="151">
        <f>VLOOKUP($E21,'4.เขตปรับKและเกลี่ยเงินเพิ่มฯ'!$E$16:$AO$110,21,FALSE)</f>
        <v>556539290</v>
      </c>
      <c r="M21" s="151">
        <f>VLOOKUP($E21,'4.เขตปรับKและเกลี่ยเงินเพิ่มฯ'!$E$16:$AO$110,22,FALSE)</f>
        <v>599261804.84000003</v>
      </c>
      <c r="N21" s="151">
        <f>VLOOKUP($E21,'4.เขตปรับKและเกลี่ยเงินเพิ่มฯ'!$E$16:$AA$110,23,FALSE)</f>
        <v>0</v>
      </c>
      <c r="O21" s="151">
        <f>VLOOKUP($E21,'4.เขตปรับKและเกลี่ยเงินเพิ่มฯ'!$E$16:$AB$110,24,FALSE)</f>
        <v>599261804.84000003</v>
      </c>
      <c r="P21" s="151">
        <f>VLOOKUP($E21,'4.เขตปรับKและเกลี่ยเงินเพิ่มฯ'!$E$16:$AM$110,35,FALSE)</f>
        <v>0</v>
      </c>
      <c r="Q21" s="151">
        <f t="shared" ref="Q21:Q41" si="4">ROUND(O21-P21,2)</f>
        <v>599261804.84000003</v>
      </c>
      <c r="R21" s="151">
        <f>VLOOKUP($E21,'4.เขตปรับKและเกลี่ยเงินเพิ่มฯ'!$E$16:$AI$110,31,FALSE)</f>
        <v>0</v>
      </c>
      <c r="S21" s="151">
        <f>VLOOKUP($E21,'4.เขตปรับKและเกลี่ยเงินเพิ่มฯ'!$E$16:$AH$110,30,FALSE)</f>
        <v>590019395.14999998</v>
      </c>
    </row>
    <row r="22" spans="1:19" s="139" customFormat="1" ht="15" customHeight="1" outlineLevel="2">
      <c r="A22" s="82">
        <v>514</v>
      </c>
      <c r="B22" s="82" t="s">
        <v>26</v>
      </c>
      <c r="C22" s="140" t="s">
        <v>59</v>
      </c>
      <c r="D22" s="140" t="s">
        <v>60</v>
      </c>
      <c r="E22" s="140" t="s">
        <v>63</v>
      </c>
      <c r="F22" s="140" t="s">
        <v>64</v>
      </c>
      <c r="G22" s="151">
        <f>VLOOKUP($E22,'4.เขตปรับKและเกลี่ยเงินเพิ่มฯ'!$E$16:$I$110,5,FALSE)</f>
        <v>1.1499999999999999</v>
      </c>
      <c r="H22" s="151">
        <f>VLOOKUP($E22,'4.เขตปรับKและเกลี่ยเงินเพิ่มฯ'!$E$16:$AO$110,14,FALSE)</f>
        <v>66013225.659999996</v>
      </c>
      <c r="I22" s="151">
        <f>VLOOKUP($E22,'4.เขตปรับKและเกลี่ยเงินเพิ่มฯ'!$E$16:$AO$110,15,FALSE)</f>
        <v>12938580.5</v>
      </c>
      <c r="J22" s="151">
        <f>VLOOKUP($E22,'4.เขตปรับKและเกลี่ยเงินเพิ่มฯ'!$E$16:$AO$110,16,FALSE)+VLOOKUP($E22,'4.เขตปรับKและเกลี่ยเงินเพิ่มฯ'!$E$16:$AO$110,17,FALSE)+VLOOKUP($E22,'4.เขตปรับKและเกลี่ยเงินเพิ่มฯ'!$E$16:$AO$110,18,FALSE)+VLOOKUP($E22,'4.เขตปรับKและเกลี่ยเงินเพิ่มฯ'!$E$16:$AO$110,19,FALSE)</f>
        <v>21321370.530000001</v>
      </c>
      <c r="K22" s="151">
        <f>VLOOKUP($E22,'4.เขตปรับKและเกลี่ยเงินเพิ่มฯ'!$E$16:$X$110,20,FALSE)</f>
        <v>100273176.69</v>
      </c>
      <c r="L22" s="151">
        <f>VLOOKUP($E22,'4.เขตปรับKและเกลี่ยเงินเพิ่มฯ'!$E$16:$AO$110,21,FALSE)</f>
        <v>36187669</v>
      </c>
      <c r="M22" s="151">
        <f>VLOOKUP($E22,'4.เขตปรับKและเกลี่ยเงินเพิ่มฯ'!$E$16:$AO$110,22,FALSE)</f>
        <v>64085507.689999998</v>
      </c>
      <c r="N22" s="151">
        <f>VLOOKUP($E22,'4.เขตปรับKและเกลี่ยเงินเพิ่มฯ'!$E$16:$AA$110,23,FALSE)</f>
        <v>0</v>
      </c>
      <c r="O22" s="151">
        <f>VLOOKUP($E22,'4.เขตปรับKและเกลี่ยเงินเพิ่มฯ'!$E$16:$AB$110,24,FALSE)</f>
        <v>64085507.689999998</v>
      </c>
      <c r="P22" s="151">
        <f>VLOOKUP($E22,'4.เขตปรับKและเกลี่ยเงินเพิ่มฯ'!$E$16:$AM$110,35,FALSE)</f>
        <v>0</v>
      </c>
      <c r="Q22" s="151">
        <f t="shared" si="4"/>
        <v>64085507.689999998</v>
      </c>
      <c r="R22" s="151">
        <f>VLOOKUP($E22,'4.เขตปรับKและเกลี่ยเงินเพิ่มฯ'!$E$16:$AI$110,31,FALSE)</f>
        <v>0</v>
      </c>
      <c r="S22" s="151">
        <f>VLOOKUP($E22,'4.เขตปรับKและเกลี่ยเงินเพิ่มฯ'!$E$16:$AH$110,30,FALSE)</f>
        <v>46377825.270000003</v>
      </c>
    </row>
    <row r="23" spans="1:19" s="139" customFormat="1" ht="15" customHeight="1" outlineLevel="2">
      <c r="A23" s="82">
        <v>515</v>
      </c>
      <c r="B23" s="82" t="s">
        <v>26</v>
      </c>
      <c r="C23" s="140" t="s">
        <v>59</v>
      </c>
      <c r="D23" s="140" t="s">
        <v>60</v>
      </c>
      <c r="E23" s="140" t="s">
        <v>65</v>
      </c>
      <c r="F23" s="140" t="s">
        <v>66</v>
      </c>
      <c r="G23" s="151">
        <f>VLOOKUP($E23,'4.เขตปรับKและเกลี่ยเงินเพิ่มฯ'!$E$16:$I$110,5,FALSE)</f>
        <v>1.2</v>
      </c>
      <c r="H23" s="151">
        <f>VLOOKUP($E23,'4.เขตปรับKและเกลี่ยเงินเพิ่มฯ'!$E$16:$AO$110,14,FALSE)</f>
        <v>64419852.460000001</v>
      </c>
      <c r="I23" s="151">
        <f>VLOOKUP($E23,'4.เขตปรับKและเกลี่ยเงินเพิ่มฯ'!$E$16:$AO$110,15,FALSE)</f>
        <v>12626279.630000001</v>
      </c>
      <c r="J23" s="151">
        <f>VLOOKUP($E23,'4.เขตปรับKและเกลี่ยเงินเพิ่มฯ'!$E$16:$AO$110,16,FALSE)+VLOOKUP($E23,'4.เขตปรับKและเกลี่ยเงินเพิ่มฯ'!$E$16:$AO$110,17,FALSE)+VLOOKUP($E23,'4.เขตปรับKและเกลี่ยเงินเพิ่มฯ'!$E$16:$AO$110,18,FALSE)+VLOOKUP($E23,'4.เขตปรับKและเกลี่ยเงินเพิ่มฯ'!$E$16:$AO$110,19,FALSE)</f>
        <v>19842497.039999999</v>
      </c>
      <c r="K23" s="151">
        <f>VLOOKUP($E23,'4.เขตปรับKและเกลี่ยเงินเพิ่มฯ'!$E$16:$X$110,20,FALSE)</f>
        <v>96888629.13000001</v>
      </c>
      <c r="L23" s="151">
        <f>VLOOKUP($E23,'4.เขตปรับKและเกลี่ยเงินเพิ่มฯ'!$E$16:$AO$110,21,FALSE)</f>
        <v>44219391</v>
      </c>
      <c r="M23" s="151">
        <f>VLOOKUP($E23,'4.เขตปรับKและเกลี่ยเงินเพิ่มฯ'!$E$16:$AO$110,22,FALSE)</f>
        <v>52669238.130000003</v>
      </c>
      <c r="N23" s="151">
        <f>VLOOKUP($E23,'4.เขตปรับKและเกลี่ยเงินเพิ่มฯ'!$E$16:$AA$110,23,FALSE)</f>
        <v>0</v>
      </c>
      <c r="O23" s="151">
        <f>VLOOKUP($E23,'4.เขตปรับKและเกลี่ยเงินเพิ่มฯ'!$E$16:$AB$110,24,FALSE)</f>
        <v>52669238.130000003</v>
      </c>
      <c r="P23" s="151">
        <f>VLOOKUP($E23,'4.เขตปรับKและเกลี่ยเงินเพิ่มฯ'!$E$16:$AM$110,35,FALSE)</f>
        <v>0</v>
      </c>
      <c r="Q23" s="151">
        <f t="shared" si="4"/>
        <v>52669238.130000003</v>
      </c>
      <c r="R23" s="151">
        <f>VLOOKUP($E23,'4.เขตปรับKและเกลี่ยเงินเพิ่มฯ'!$E$16:$AI$110,31,FALSE)</f>
        <v>0</v>
      </c>
      <c r="S23" s="151">
        <f>VLOOKUP($E23,'4.เขตปรับKและเกลี่ยเงินเพิ่มฯ'!$E$16:$AH$110,30,FALSE)</f>
        <v>44410128.259999998</v>
      </c>
    </row>
    <row r="24" spans="1:19" s="139" customFormat="1" ht="15" customHeight="1" outlineLevel="2">
      <c r="A24" s="82">
        <v>516</v>
      </c>
      <c r="B24" s="82" t="s">
        <v>26</v>
      </c>
      <c r="C24" s="140" t="s">
        <v>59</v>
      </c>
      <c r="D24" s="140" t="s">
        <v>60</v>
      </c>
      <c r="E24" s="140" t="s">
        <v>67</v>
      </c>
      <c r="F24" s="140" t="s">
        <v>68</v>
      </c>
      <c r="G24" s="151">
        <f>VLOOKUP($E24,'4.เขตปรับKและเกลี่ยเงินเพิ่มฯ'!$E$16:$I$110,5,FALSE)</f>
        <v>1.1499999999999999</v>
      </c>
      <c r="H24" s="151">
        <f>VLOOKUP($E24,'4.เขตปรับKและเกลี่ยเงินเพิ่มฯ'!$E$16:$AO$110,14,FALSE)</f>
        <v>94367761.019999996</v>
      </c>
      <c r="I24" s="151">
        <f>VLOOKUP($E24,'4.เขตปรับKและเกลี่ยเงินเพิ่มฯ'!$E$16:$AO$110,15,FALSE)</f>
        <v>18496064.390000001</v>
      </c>
      <c r="J24" s="151">
        <f>VLOOKUP($E24,'4.เขตปรับKและเกลี่ยเงินเพิ่มฯ'!$E$16:$AO$110,16,FALSE)+VLOOKUP($E24,'4.เขตปรับKและเกลี่ยเงินเพิ่มฯ'!$E$16:$AO$110,17,FALSE)+VLOOKUP($E24,'4.เขตปรับKและเกลี่ยเงินเพิ่มฯ'!$E$16:$AO$110,18,FALSE)+VLOOKUP($E24,'4.เขตปรับKและเกลี่ยเงินเพิ่มฯ'!$E$16:$AO$110,19,FALSE)</f>
        <v>113866797.80000001</v>
      </c>
      <c r="K24" s="151">
        <f>VLOOKUP($E24,'4.เขตปรับKและเกลี่ยเงินเพิ่มฯ'!$E$16:$X$110,20,FALSE)</f>
        <v>226730623.20999998</v>
      </c>
      <c r="L24" s="151">
        <f>VLOOKUP($E24,'4.เขตปรับKและเกลี่ยเงินเพิ่มฯ'!$E$16:$AO$110,21,FALSE)</f>
        <v>109031439</v>
      </c>
      <c r="M24" s="151">
        <f>VLOOKUP($E24,'4.เขตปรับKและเกลี่ยเงินเพิ่มฯ'!$E$16:$AO$110,22,FALSE)</f>
        <v>117699184.20999999</v>
      </c>
      <c r="N24" s="151">
        <f>VLOOKUP($E24,'4.เขตปรับKและเกลี่ยเงินเพิ่มฯ'!$E$16:$AA$110,23,FALSE)</f>
        <v>0</v>
      </c>
      <c r="O24" s="151">
        <f>VLOOKUP($E24,'4.เขตปรับKและเกลี่ยเงินเพิ่มฯ'!$E$16:$AB$110,24,FALSE)</f>
        <v>117699184.20999999</v>
      </c>
      <c r="P24" s="151">
        <f>VLOOKUP($E24,'4.เขตปรับKและเกลี่ยเงินเพิ่มฯ'!$E$16:$AM$110,35,FALSE)</f>
        <v>0</v>
      </c>
      <c r="Q24" s="151">
        <f t="shared" si="4"/>
        <v>117699184.20999999</v>
      </c>
      <c r="R24" s="151">
        <f>VLOOKUP($E24,'4.เขตปรับKและเกลี่ยเงินเพิ่มฯ'!$E$16:$AI$110,31,FALSE)</f>
        <v>0</v>
      </c>
      <c r="S24" s="151">
        <f>VLOOKUP($E24,'4.เขตปรับKและเกลี่ยเงินเพิ่มฯ'!$E$16:$AH$110,30,FALSE)</f>
        <v>101232439.68000001</v>
      </c>
    </row>
    <row r="25" spans="1:19" s="139" customFormat="1" ht="15" customHeight="1" outlineLevel="2">
      <c r="A25" s="82">
        <v>517</v>
      </c>
      <c r="B25" s="82" t="s">
        <v>26</v>
      </c>
      <c r="C25" s="140" t="s">
        <v>59</v>
      </c>
      <c r="D25" s="140" t="s">
        <v>60</v>
      </c>
      <c r="E25" s="140" t="s">
        <v>69</v>
      </c>
      <c r="F25" s="140" t="s">
        <v>70</v>
      </c>
      <c r="G25" s="151">
        <f>VLOOKUP($E25,'4.เขตปรับKและเกลี่ยเงินเพิ่มฯ'!$E$16:$I$110,5,FALSE)</f>
        <v>1.5</v>
      </c>
      <c r="H25" s="151">
        <f>VLOOKUP($E25,'4.เขตปรับKและเกลี่ยเงินเพิ่มฯ'!$E$16:$AO$110,14,FALSE)</f>
        <v>7292346.3899999997</v>
      </c>
      <c r="I25" s="151">
        <f>VLOOKUP($E25,'4.เขตปรับKและเกลี่ยเงินเพิ่มฯ'!$E$16:$AO$110,15,FALSE)</f>
        <v>1429298.6</v>
      </c>
      <c r="J25" s="151">
        <f>VLOOKUP($E25,'4.เขตปรับKและเกลี่ยเงินเพิ่มฯ'!$E$16:$AO$110,16,FALSE)+VLOOKUP($E25,'4.เขตปรับKและเกลี่ยเงินเพิ่มฯ'!$E$16:$AO$110,17,FALSE)+VLOOKUP($E25,'4.เขตปรับKและเกลี่ยเงินเพิ่มฯ'!$E$16:$AO$110,18,FALSE)+VLOOKUP($E25,'4.เขตปรับKและเกลี่ยเงินเพิ่มฯ'!$E$16:$AO$110,19,FALSE)</f>
        <v>0</v>
      </c>
      <c r="K25" s="151">
        <f>VLOOKUP($E25,'4.เขตปรับKและเกลี่ยเงินเพิ่มฯ'!$E$16:$X$110,20,FALSE)</f>
        <v>8721644.9900000002</v>
      </c>
      <c r="L25" s="151">
        <f>VLOOKUP($E25,'4.เขตปรับKและเกลี่ยเงินเพิ่มฯ'!$E$16:$AO$110,21,FALSE)</f>
        <v>8547408</v>
      </c>
      <c r="M25" s="151">
        <f>VLOOKUP($E25,'4.เขตปรับKและเกลี่ยเงินเพิ่มฯ'!$E$16:$AO$110,22,FALSE)</f>
        <v>174236.99</v>
      </c>
      <c r="N25" s="151">
        <f>VLOOKUP($E25,'4.เขตปรับKและเกลี่ยเงินเพิ่มฯ'!$E$16:$AA$110,23,FALSE)</f>
        <v>9825763.0099999998</v>
      </c>
      <c r="O25" s="151">
        <f>VLOOKUP($E25,'4.เขตปรับKและเกลี่ยเงินเพิ่มฯ'!$E$16:$AB$110,24,FALSE)</f>
        <v>10000000</v>
      </c>
      <c r="P25" s="151">
        <f>VLOOKUP($E25,'4.เขตปรับKและเกลี่ยเงินเพิ่มฯ'!$E$16:$AM$110,35,FALSE)</f>
        <v>0</v>
      </c>
      <c r="Q25" s="151">
        <f t="shared" si="4"/>
        <v>10000000</v>
      </c>
      <c r="R25" s="151">
        <f>VLOOKUP($E25,'4.เขตปรับKและเกลี่ยเงินเพิ่มฯ'!$E$16:$AI$110,31,FALSE)</f>
        <v>0</v>
      </c>
      <c r="S25" s="151">
        <f>VLOOKUP($E25,'4.เขตปรับKและเกลี่ยเงินเพิ่มฯ'!$E$16:$AH$110,30,FALSE)</f>
        <v>10000000</v>
      </c>
    </row>
    <row r="26" spans="1:19" s="139" customFormat="1" ht="15" customHeight="1" outlineLevel="2">
      <c r="A26" s="82">
        <v>518</v>
      </c>
      <c r="B26" s="82" t="s">
        <v>26</v>
      </c>
      <c r="C26" s="140" t="s">
        <v>59</v>
      </c>
      <c r="D26" s="140" t="s">
        <v>60</v>
      </c>
      <c r="E26" s="140" t="s">
        <v>71</v>
      </c>
      <c r="F26" s="140" t="s">
        <v>72</v>
      </c>
      <c r="G26" s="151">
        <f>VLOOKUP($E26,'4.เขตปรับKและเกลี่ยเงินเพิ่มฯ'!$E$16:$I$110,5,FALSE)</f>
        <v>1.25</v>
      </c>
      <c r="H26" s="151">
        <f>VLOOKUP($E26,'4.เขตปรับKและเกลี่ยเงินเพิ่มฯ'!$E$16:$AO$110,14,FALSE)</f>
        <v>51376149.979999997</v>
      </c>
      <c r="I26" s="151">
        <f>VLOOKUP($E26,'4.เขตปรับKและเกลี่ยเงินเพิ่มฯ'!$E$16:$AO$110,15,FALSE)</f>
        <v>10069716.26</v>
      </c>
      <c r="J26" s="151">
        <f>VLOOKUP($E26,'4.เขตปรับKและเกลี่ยเงินเพิ่มฯ'!$E$16:$AO$110,16,FALSE)+VLOOKUP($E26,'4.เขตปรับKและเกลี่ยเงินเพิ่มฯ'!$E$16:$AO$110,17,FALSE)+VLOOKUP($E26,'4.เขตปรับKและเกลี่ยเงินเพิ่มฯ'!$E$16:$AO$110,18,FALSE)+VLOOKUP($E26,'4.เขตปรับKและเกลี่ยเงินเพิ่มฯ'!$E$16:$AO$110,19,FALSE)</f>
        <v>19476665.640000001</v>
      </c>
      <c r="K26" s="151">
        <f>VLOOKUP($E26,'4.เขตปรับKและเกลี่ยเงินเพิ่มฯ'!$E$16:$X$110,20,FALSE)</f>
        <v>80922531.879999995</v>
      </c>
      <c r="L26" s="151">
        <f>VLOOKUP($E26,'4.เขตปรับKและเกลี่ยเงินเพิ่มฯ'!$E$16:$AO$110,21,FALSE)</f>
        <v>30716205</v>
      </c>
      <c r="M26" s="151">
        <f>VLOOKUP($E26,'4.เขตปรับKและเกลี่ยเงินเพิ่มฯ'!$E$16:$AO$110,22,FALSE)</f>
        <v>50206326.880000003</v>
      </c>
      <c r="N26" s="151">
        <f>VLOOKUP($E26,'4.เขตปรับKและเกลี่ยเงินเพิ่มฯ'!$E$16:$AA$110,23,FALSE)</f>
        <v>0</v>
      </c>
      <c r="O26" s="151">
        <f>VLOOKUP($E26,'4.เขตปรับKและเกลี่ยเงินเพิ่มฯ'!$E$16:$AB$110,24,FALSE)</f>
        <v>50206326.880000003</v>
      </c>
      <c r="P26" s="151">
        <f>VLOOKUP($E26,'4.เขตปรับKและเกลี่ยเงินเพิ่มฯ'!$E$16:$AM$110,35,FALSE)</f>
        <v>0</v>
      </c>
      <c r="Q26" s="151">
        <f t="shared" si="4"/>
        <v>50206326.880000003</v>
      </c>
      <c r="R26" s="151">
        <f>VLOOKUP($E26,'4.เขตปรับKและเกลี่ยเงินเพิ่มฯ'!$E$16:$AI$110,31,FALSE)</f>
        <v>0</v>
      </c>
      <c r="S26" s="151">
        <f>VLOOKUP($E26,'4.เขตปรับKและเกลี่ยเงินเพิ่มฯ'!$E$16:$AH$110,30,FALSE)</f>
        <v>37968515.210000001</v>
      </c>
    </row>
    <row r="27" spans="1:19" s="139" customFormat="1" ht="15" customHeight="1" outlineLevel="2">
      <c r="A27" s="82">
        <v>519</v>
      </c>
      <c r="B27" s="82" t="s">
        <v>26</v>
      </c>
      <c r="C27" s="140" t="s">
        <v>59</v>
      </c>
      <c r="D27" s="140" t="s">
        <v>60</v>
      </c>
      <c r="E27" s="140" t="s">
        <v>73</v>
      </c>
      <c r="F27" s="140" t="s">
        <v>74</v>
      </c>
      <c r="G27" s="151">
        <f>VLOOKUP($E27,'4.เขตปรับKและเกลี่ยเงินเพิ่มฯ'!$E$16:$I$110,5,FALSE)</f>
        <v>1.1000000000000001</v>
      </c>
      <c r="H27" s="151">
        <f>VLOOKUP($E27,'4.เขตปรับKและเกลี่ยเงินเพิ่มฯ'!$E$16:$AO$110,14,FALSE)</f>
        <v>100397670.39</v>
      </c>
      <c r="I27" s="151">
        <f>VLOOKUP($E27,'4.เขตปรับKและเกลี่ยเงินเพิ่มฯ'!$E$16:$AO$110,15,FALSE)</f>
        <v>19677925.550000001</v>
      </c>
      <c r="J27" s="151">
        <f>VLOOKUP($E27,'4.เขตปรับKและเกลี่ยเงินเพิ่มฯ'!$E$16:$AO$110,16,FALSE)+VLOOKUP($E27,'4.เขตปรับKและเกลี่ยเงินเพิ่มฯ'!$E$16:$AO$110,17,FALSE)+VLOOKUP($E27,'4.เขตปรับKและเกลี่ยเงินเพิ่มฯ'!$E$16:$AO$110,18,FALSE)+VLOOKUP($E27,'4.เขตปรับKและเกลี่ยเงินเพิ่มฯ'!$E$16:$AO$110,19,FALSE)</f>
        <v>49242004.340000004</v>
      </c>
      <c r="K27" s="151">
        <f>VLOOKUP($E27,'4.เขตปรับKและเกลี่ยเงินเพิ่มฯ'!$E$16:$X$110,20,FALSE)</f>
        <v>169317600.28</v>
      </c>
      <c r="L27" s="151">
        <f>VLOOKUP($E27,'4.เขตปรับKและเกลี่ยเงินเพิ่มฯ'!$E$16:$AO$110,21,FALSE)</f>
        <v>76273078</v>
      </c>
      <c r="M27" s="151">
        <f>VLOOKUP($E27,'4.เขตปรับKและเกลี่ยเงินเพิ่มฯ'!$E$16:$AO$110,22,FALSE)</f>
        <v>93044522.280000001</v>
      </c>
      <c r="N27" s="151">
        <f>VLOOKUP($E27,'4.เขตปรับKและเกลี่ยเงินเพิ่มฯ'!$E$16:$AA$110,23,FALSE)</f>
        <v>0</v>
      </c>
      <c r="O27" s="151">
        <f>VLOOKUP($E27,'4.เขตปรับKและเกลี่ยเงินเพิ่มฯ'!$E$16:$AB$110,24,FALSE)</f>
        <v>93044522.280000001</v>
      </c>
      <c r="P27" s="151">
        <f>VLOOKUP($E27,'4.เขตปรับKและเกลี่ยเงินเพิ่มฯ'!$E$16:$AM$110,35,FALSE)</f>
        <v>0</v>
      </c>
      <c r="Q27" s="151">
        <f t="shared" si="4"/>
        <v>93044522.280000001</v>
      </c>
      <c r="R27" s="151">
        <f>VLOOKUP($E27,'4.เขตปรับKและเกลี่ยเงินเพิ่มฯ'!$E$16:$AI$110,31,FALSE)</f>
        <v>0</v>
      </c>
      <c r="S27" s="151">
        <f>VLOOKUP($E27,'4.เขตปรับKและเกลี่ยเงินเพิ่มฯ'!$E$16:$AH$110,30,FALSE)</f>
        <v>82416556.819999993</v>
      </c>
    </row>
    <row r="28" spans="1:19" s="139" customFormat="1" ht="15" customHeight="1" outlineLevel="2">
      <c r="A28" s="82">
        <v>520</v>
      </c>
      <c r="B28" s="82" t="s">
        <v>26</v>
      </c>
      <c r="C28" s="140" t="s">
        <v>59</v>
      </c>
      <c r="D28" s="140" t="s">
        <v>60</v>
      </c>
      <c r="E28" s="140" t="s">
        <v>75</v>
      </c>
      <c r="F28" s="140" t="s">
        <v>76</v>
      </c>
      <c r="G28" s="151">
        <f>VLOOKUP($E28,'4.เขตปรับKและเกลี่ยเงินเพิ่มฯ'!$E$16:$I$110,5,FALSE)</f>
        <v>1.3</v>
      </c>
      <c r="H28" s="151">
        <f>VLOOKUP($E28,'4.เขตปรับKและเกลี่ยเงินเพิ่มฯ'!$E$16:$AO$110,14,FALSE)</f>
        <v>37902441.25</v>
      </c>
      <c r="I28" s="151">
        <f>VLOOKUP($E28,'4.เขตปรับKและเกลี่ยเงินเพิ่มฯ'!$E$16:$AO$110,15,FALSE)</f>
        <v>7428871.7400000002</v>
      </c>
      <c r="J28" s="151">
        <f>VLOOKUP($E28,'4.เขตปรับKและเกลี่ยเงินเพิ่มฯ'!$E$16:$AO$110,16,FALSE)+VLOOKUP($E28,'4.เขตปรับKและเกลี่ยเงินเพิ่มฯ'!$E$16:$AO$110,17,FALSE)+VLOOKUP($E28,'4.เขตปรับKและเกลี่ยเงินเพิ่มฯ'!$E$16:$AO$110,18,FALSE)+VLOOKUP($E28,'4.เขตปรับKและเกลี่ยเงินเพิ่มฯ'!$E$16:$AO$110,19,FALSE)</f>
        <v>10850645.67</v>
      </c>
      <c r="K28" s="151">
        <f>VLOOKUP($E28,'4.เขตปรับKและเกลี่ยเงินเพิ่มฯ'!$E$16:$X$110,20,FALSE)</f>
        <v>56181958.660000004</v>
      </c>
      <c r="L28" s="151">
        <f>VLOOKUP($E28,'4.เขตปรับKและเกลี่ยเงินเพิ่มฯ'!$E$16:$AO$110,21,FALSE)</f>
        <v>23417209</v>
      </c>
      <c r="M28" s="151">
        <f>VLOOKUP($E28,'4.เขตปรับKและเกลี่ยเงินเพิ่มฯ'!$E$16:$AO$110,22,FALSE)</f>
        <v>32764749.66</v>
      </c>
      <c r="N28" s="151">
        <f>VLOOKUP($E28,'4.เขตปรับKและเกลี่ยเงินเพิ่มฯ'!$E$16:$AA$110,23,FALSE)</f>
        <v>0</v>
      </c>
      <c r="O28" s="151">
        <f>VLOOKUP($E28,'4.เขตปรับKและเกลี่ยเงินเพิ่มฯ'!$E$16:$AB$110,24,FALSE)</f>
        <v>32764749.66</v>
      </c>
      <c r="P28" s="151">
        <f>VLOOKUP($E28,'4.เขตปรับKและเกลี่ยเงินเพิ่มฯ'!$E$16:$AM$110,35,FALSE)</f>
        <v>0</v>
      </c>
      <c r="Q28" s="151">
        <f t="shared" si="4"/>
        <v>32764749.66</v>
      </c>
      <c r="R28" s="151">
        <f>VLOOKUP($E28,'4.เขตปรับKและเกลี่ยเงินเพิ่มฯ'!$E$16:$AI$110,31,FALSE)</f>
        <v>0</v>
      </c>
      <c r="S28" s="151">
        <f>VLOOKUP($E28,'4.เขตปรับKและเกลี่ยเงินเพิ่มฯ'!$E$16:$AH$110,30,FALSE)</f>
        <v>26125620.760000002</v>
      </c>
    </row>
    <row r="29" spans="1:19" s="139" customFormat="1" ht="15" customHeight="1" outlineLevel="2">
      <c r="A29" s="82">
        <v>521</v>
      </c>
      <c r="B29" s="82" t="s">
        <v>26</v>
      </c>
      <c r="C29" s="140" t="s">
        <v>59</v>
      </c>
      <c r="D29" s="140" t="s">
        <v>60</v>
      </c>
      <c r="E29" s="140" t="s">
        <v>77</v>
      </c>
      <c r="F29" s="140" t="s">
        <v>78</v>
      </c>
      <c r="G29" s="151">
        <f>VLOOKUP($E29,'4.เขตปรับKและเกลี่ยเงินเพิ่มฯ'!$E$16:$I$110,5,FALSE)</f>
        <v>1.3</v>
      </c>
      <c r="H29" s="151">
        <f>VLOOKUP($E29,'4.เขตปรับKและเกลี่ยเงินเพิ่มฯ'!$E$16:$AO$110,14,FALSE)</f>
        <v>43903692.509999998</v>
      </c>
      <c r="I29" s="151">
        <f>VLOOKUP($E29,'4.เขตปรับKและเกลี่ยเงินเพิ่มฯ'!$E$16:$AO$110,15,FALSE)</f>
        <v>8605115.9299999997</v>
      </c>
      <c r="J29" s="151">
        <f>VLOOKUP($E29,'4.เขตปรับKและเกลี่ยเงินเพิ่มฯ'!$E$16:$AO$110,16,FALSE)+VLOOKUP($E29,'4.เขตปรับKและเกลี่ยเงินเพิ่มฯ'!$E$16:$AO$110,17,FALSE)+VLOOKUP($E29,'4.เขตปรับKและเกลี่ยเงินเพิ่มฯ'!$E$16:$AO$110,18,FALSE)+VLOOKUP($E29,'4.เขตปรับKและเกลี่ยเงินเพิ่มฯ'!$E$16:$AO$110,19,FALSE)</f>
        <v>10426683.659999998</v>
      </c>
      <c r="K29" s="151">
        <f>VLOOKUP($E29,'4.เขตปรับKและเกลี่ยเงินเพิ่มฯ'!$E$16:$X$110,20,FALSE)</f>
        <v>62935492.099999994</v>
      </c>
      <c r="L29" s="151">
        <f>VLOOKUP($E29,'4.เขตปรับKและเกลี่ยเงินเพิ่มฯ'!$E$16:$AO$110,21,FALSE)</f>
        <v>19426549</v>
      </c>
      <c r="M29" s="151">
        <f>VLOOKUP($E29,'4.เขตปรับKและเกลี่ยเงินเพิ่มฯ'!$E$16:$AO$110,22,FALSE)</f>
        <v>43508943.100000001</v>
      </c>
      <c r="N29" s="151">
        <f>VLOOKUP($E29,'4.เขตปรับKและเกลี่ยเงินเพิ่มฯ'!$E$16:$AA$110,23,FALSE)</f>
        <v>0</v>
      </c>
      <c r="O29" s="151">
        <f>VLOOKUP($E29,'4.เขตปรับKและเกลี่ยเงินเพิ่มฯ'!$E$16:$AB$110,24,FALSE)</f>
        <v>43508943.100000001</v>
      </c>
      <c r="P29" s="151">
        <f>VLOOKUP($E29,'4.เขตปรับKและเกลี่ยเงินเพิ่มฯ'!$E$16:$AM$110,35,FALSE)</f>
        <v>0</v>
      </c>
      <c r="Q29" s="151">
        <f t="shared" si="4"/>
        <v>43508943.100000001</v>
      </c>
      <c r="R29" s="151">
        <f>VLOOKUP($E29,'4.เขตปรับKและเกลี่ยเงินเพิ่มฯ'!$E$16:$AI$110,31,FALSE)</f>
        <v>0</v>
      </c>
      <c r="S29" s="151">
        <f>VLOOKUP($E29,'4.เขตปรับKและเกลี่ยเงินเพิ่มฯ'!$E$16:$AH$110,30,FALSE)</f>
        <v>33122423.789999999</v>
      </c>
    </row>
    <row r="30" spans="1:19" s="139" customFormat="1" ht="15" customHeight="1" outlineLevel="2">
      <c r="A30" s="82">
        <v>522</v>
      </c>
      <c r="B30" s="82" t="s">
        <v>26</v>
      </c>
      <c r="C30" s="140" t="s">
        <v>59</v>
      </c>
      <c r="D30" s="140" t="s">
        <v>60</v>
      </c>
      <c r="E30" s="140" t="s">
        <v>79</v>
      </c>
      <c r="F30" s="140" t="s">
        <v>80</v>
      </c>
      <c r="G30" s="151">
        <f>VLOOKUP($E30,'4.เขตปรับKและเกลี่ยเงินเพิ่มฯ'!$E$16:$I$110,5,FALSE)</f>
        <v>1.25</v>
      </c>
      <c r="H30" s="151">
        <f>VLOOKUP($E30,'4.เขตปรับKและเกลี่ยเงินเพิ่มฯ'!$E$16:$AO$110,14,FALSE)</f>
        <v>51197474.049999997</v>
      </c>
      <c r="I30" s="151">
        <f>VLOOKUP($E30,'4.เขตปรับKและเกลี่ยเงินเพิ่มฯ'!$E$16:$AO$110,15,FALSE)</f>
        <v>10034695.82</v>
      </c>
      <c r="J30" s="151">
        <f>VLOOKUP($E30,'4.เขตปรับKและเกลี่ยเงินเพิ่มฯ'!$E$16:$AO$110,16,FALSE)+VLOOKUP($E30,'4.เขตปรับKและเกลี่ยเงินเพิ่มฯ'!$E$16:$AO$110,17,FALSE)+VLOOKUP($E30,'4.เขตปรับKและเกลี่ยเงินเพิ่มฯ'!$E$16:$AO$110,18,FALSE)+VLOOKUP($E30,'4.เขตปรับKและเกลี่ยเงินเพิ่มฯ'!$E$16:$AO$110,19,FALSE)</f>
        <v>15124648.1</v>
      </c>
      <c r="K30" s="151">
        <f>VLOOKUP($E30,'4.เขตปรับKและเกลี่ยเงินเพิ่มฯ'!$E$16:$X$110,20,FALSE)</f>
        <v>76356817.969999999</v>
      </c>
      <c r="L30" s="151">
        <f>VLOOKUP($E30,'4.เขตปรับKและเกลี่ยเงินเพิ่มฯ'!$E$16:$AO$110,21,FALSE)</f>
        <v>29988659</v>
      </c>
      <c r="M30" s="151">
        <f>VLOOKUP($E30,'4.เขตปรับKและเกลี่ยเงินเพิ่มฯ'!$E$16:$AO$110,22,FALSE)</f>
        <v>46368158.969999999</v>
      </c>
      <c r="N30" s="151">
        <f>VLOOKUP($E30,'4.เขตปรับKและเกลี่ยเงินเพิ่มฯ'!$E$16:$AA$110,23,FALSE)</f>
        <v>0</v>
      </c>
      <c r="O30" s="151">
        <f>VLOOKUP($E30,'4.เขตปรับKและเกลี่ยเงินเพิ่มฯ'!$E$16:$AB$110,24,FALSE)</f>
        <v>46368158.969999999</v>
      </c>
      <c r="P30" s="151">
        <f>VLOOKUP($E30,'4.เขตปรับKและเกลี่ยเงินเพิ่มฯ'!$E$16:$AM$110,35,FALSE)</f>
        <v>0</v>
      </c>
      <c r="Q30" s="151">
        <f t="shared" si="4"/>
        <v>46368158.969999999</v>
      </c>
      <c r="R30" s="151">
        <f>VLOOKUP($E30,'4.เขตปรับKและเกลี่ยเงินเพิ่มฯ'!$E$16:$AI$110,31,FALSE)</f>
        <v>0</v>
      </c>
      <c r="S30" s="151">
        <f>VLOOKUP($E30,'4.เขตปรับKและเกลี่ยเงินเพิ่มฯ'!$E$16:$AH$110,30,FALSE)</f>
        <v>37773928.119999997</v>
      </c>
    </row>
    <row r="31" spans="1:19" s="139" customFormat="1" ht="15" customHeight="1" outlineLevel="2">
      <c r="A31" s="82">
        <v>523</v>
      </c>
      <c r="B31" s="82" t="s">
        <v>26</v>
      </c>
      <c r="C31" s="140" t="s">
        <v>59</v>
      </c>
      <c r="D31" s="140" t="s">
        <v>60</v>
      </c>
      <c r="E31" s="140" t="s">
        <v>81</v>
      </c>
      <c r="F31" s="140" t="s">
        <v>82</v>
      </c>
      <c r="G31" s="151">
        <f>VLOOKUP($E31,'4.เขตปรับKและเกลี่ยเงินเพิ่มฯ'!$E$16:$I$110,5,FALSE)</f>
        <v>1.2</v>
      </c>
      <c r="H31" s="151">
        <f>VLOOKUP($E31,'4.เขตปรับKและเกลี่ยเงินเพิ่มฯ'!$E$16:$AO$110,14,FALSE)</f>
        <v>58324240.210000001</v>
      </c>
      <c r="I31" s="151">
        <f>VLOOKUP($E31,'4.เขตปรับKและเกลี่ยเงินเพิ่มฯ'!$E$16:$AO$110,15,FALSE)</f>
        <v>11431540.720000001</v>
      </c>
      <c r="J31" s="151">
        <f>VLOOKUP($E31,'4.เขตปรับKและเกลี่ยเงินเพิ่มฯ'!$E$16:$AO$110,16,FALSE)+VLOOKUP($E31,'4.เขตปรับKและเกลี่ยเงินเพิ่มฯ'!$E$16:$AO$110,17,FALSE)+VLOOKUP($E31,'4.เขตปรับKและเกลี่ยเงินเพิ่มฯ'!$E$16:$AO$110,18,FALSE)+VLOOKUP($E31,'4.เขตปรับKและเกลี่ยเงินเพิ่มฯ'!$E$16:$AO$110,19,FALSE)</f>
        <v>21240498.010000002</v>
      </c>
      <c r="K31" s="151">
        <f>VLOOKUP($E31,'4.เขตปรับKและเกลี่ยเงินเพิ่มฯ'!$E$16:$X$110,20,FALSE)</f>
        <v>90996278.940000013</v>
      </c>
      <c r="L31" s="151">
        <f>VLOOKUP($E31,'4.เขตปรับKและเกลี่ยเงินเพิ่มฯ'!$E$16:$AO$110,21,FALSE)</f>
        <v>34972090</v>
      </c>
      <c r="M31" s="151">
        <f>VLOOKUP($E31,'4.เขตปรับKและเกลี่ยเงินเพิ่มฯ'!$E$16:$AO$110,22,FALSE)</f>
        <v>56024188.939999998</v>
      </c>
      <c r="N31" s="151">
        <f>VLOOKUP($E31,'4.เขตปรับKและเกลี่ยเงินเพิ่มฯ'!$E$16:$AA$110,23,FALSE)</f>
        <v>0</v>
      </c>
      <c r="O31" s="151">
        <f>VLOOKUP($E31,'4.เขตปรับKและเกลี่ยเงินเพิ่มฯ'!$E$16:$AB$110,24,FALSE)</f>
        <v>56024188.939999998</v>
      </c>
      <c r="P31" s="151">
        <f>VLOOKUP($E31,'4.เขตปรับKและเกลี่ยเงินเพิ่มฯ'!$E$16:$AM$110,35,FALSE)</f>
        <v>0</v>
      </c>
      <c r="Q31" s="151">
        <f t="shared" si="4"/>
        <v>56024188.939999998</v>
      </c>
      <c r="R31" s="151">
        <f>VLOOKUP($E31,'4.เขตปรับKและเกลี่ยเงินเพิ่มฯ'!$E$16:$AI$110,31,FALSE)</f>
        <v>0</v>
      </c>
      <c r="S31" s="151">
        <f>VLOOKUP($E31,'4.เขตปรับKและเกลี่ยเงินเพิ่มฯ'!$E$16:$AH$110,30,FALSE)</f>
        <v>47330388.219999999</v>
      </c>
    </row>
    <row r="32" spans="1:19" s="139" customFormat="1" ht="15" customHeight="1" outlineLevel="2">
      <c r="A32" s="82">
        <v>524</v>
      </c>
      <c r="B32" s="82" t="s">
        <v>26</v>
      </c>
      <c r="C32" s="140" t="s">
        <v>59</v>
      </c>
      <c r="D32" s="140" t="s">
        <v>60</v>
      </c>
      <c r="E32" s="140" t="s">
        <v>83</v>
      </c>
      <c r="F32" s="140" t="s">
        <v>84</v>
      </c>
      <c r="G32" s="151">
        <f>VLOOKUP($E32,'4.เขตปรับKและเกลี่ยเงินเพิ่มฯ'!$E$16:$I$110,5,FALSE)</f>
        <v>1.1000000000000001</v>
      </c>
      <c r="H32" s="151">
        <f>VLOOKUP($E32,'4.เขตปรับKและเกลี่ยเงินเพิ่มฯ'!$E$16:$AO$110,14,FALSE)</f>
        <v>96643771.390000001</v>
      </c>
      <c r="I32" s="151">
        <f>VLOOKUP($E32,'4.เขตปรับKและเกลี่ยเงินเพิ่มฯ'!$E$16:$AO$110,15,FALSE)</f>
        <v>18942162.02</v>
      </c>
      <c r="J32" s="151">
        <f>VLOOKUP($E32,'4.เขตปรับKและเกลี่ยเงินเพิ่มฯ'!$E$16:$AO$110,16,FALSE)+VLOOKUP($E32,'4.เขตปรับKและเกลี่ยเงินเพิ่มฯ'!$E$16:$AO$110,17,FALSE)+VLOOKUP($E32,'4.เขตปรับKและเกลี่ยเงินเพิ่มฯ'!$E$16:$AO$110,18,FALSE)+VLOOKUP($E32,'4.เขตปรับKและเกลี่ยเงินเพิ่มฯ'!$E$16:$AO$110,19,FALSE)</f>
        <v>49418627.299999997</v>
      </c>
      <c r="K32" s="151">
        <f>VLOOKUP($E32,'4.เขตปรับKและเกลี่ยเงินเพิ่มฯ'!$E$16:$X$110,20,FALSE)</f>
        <v>165004560.71000001</v>
      </c>
      <c r="L32" s="151">
        <f>VLOOKUP($E32,'4.เขตปรับKและเกลี่ยเงินเพิ่มฯ'!$E$16:$AO$110,21,FALSE)</f>
        <v>65495591</v>
      </c>
      <c r="M32" s="151">
        <f>VLOOKUP($E32,'4.เขตปรับKและเกลี่ยเงินเพิ่มฯ'!$E$16:$AO$110,22,FALSE)</f>
        <v>99508969.709999993</v>
      </c>
      <c r="N32" s="151">
        <f>VLOOKUP($E32,'4.เขตปรับKและเกลี่ยเงินเพิ่มฯ'!$E$16:$AA$110,23,FALSE)</f>
        <v>0</v>
      </c>
      <c r="O32" s="151">
        <f>VLOOKUP($E32,'4.เขตปรับKและเกลี่ยเงินเพิ่มฯ'!$E$16:$AB$110,24,FALSE)</f>
        <v>99508969.709999993</v>
      </c>
      <c r="P32" s="151">
        <f>VLOOKUP($E32,'4.เขตปรับKและเกลี่ยเงินเพิ่มฯ'!$E$16:$AM$110,35,FALSE)</f>
        <v>0</v>
      </c>
      <c r="Q32" s="151">
        <f t="shared" si="4"/>
        <v>99508969.709999993</v>
      </c>
      <c r="R32" s="151">
        <f>VLOOKUP($E32,'4.เขตปรับKและเกลี่ยเงินเพิ่มฯ'!$E$16:$AI$110,31,FALSE)</f>
        <v>0</v>
      </c>
      <c r="S32" s="151">
        <f>VLOOKUP($E32,'4.เขตปรับKและเกลี่ยเงินเพิ่มฯ'!$E$16:$AH$110,30,FALSE)</f>
        <v>83809624.189999998</v>
      </c>
    </row>
    <row r="33" spans="1:19" s="139" customFormat="1" ht="15" customHeight="1" outlineLevel="2">
      <c r="A33" s="82">
        <v>525</v>
      </c>
      <c r="B33" s="82" t="s">
        <v>26</v>
      </c>
      <c r="C33" s="140" t="s">
        <v>59</v>
      </c>
      <c r="D33" s="140" t="s">
        <v>60</v>
      </c>
      <c r="E33" s="140" t="s">
        <v>85</v>
      </c>
      <c r="F33" s="140" t="s">
        <v>86</v>
      </c>
      <c r="G33" s="151">
        <f>VLOOKUP($E33,'4.เขตปรับKและเกลี่ยเงินเพิ่มฯ'!$E$16:$I$110,5,FALSE)</f>
        <v>1.1499999999999999</v>
      </c>
      <c r="H33" s="151">
        <f>VLOOKUP($E33,'4.เขตปรับKและเกลี่ยเงินเพิ่มฯ'!$E$16:$AO$110,14,FALSE)</f>
        <v>61535832.619999997</v>
      </c>
      <c r="I33" s="151">
        <f>VLOOKUP($E33,'4.เขตปรับKและเกลี่ยเงินเพิ่มฯ'!$E$16:$AO$110,15,FALSE)</f>
        <v>12061012.26</v>
      </c>
      <c r="J33" s="151">
        <f>VLOOKUP($E33,'4.เขตปรับKและเกลี่ยเงินเพิ่มฯ'!$E$16:$AO$110,16,FALSE)+VLOOKUP($E33,'4.เขตปรับKและเกลี่ยเงินเพิ่มฯ'!$E$16:$AO$110,17,FALSE)+VLOOKUP($E33,'4.เขตปรับKและเกลี่ยเงินเพิ่มฯ'!$E$16:$AO$110,18,FALSE)+VLOOKUP($E33,'4.เขตปรับKและเกลี่ยเงินเพิ่มฯ'!$E$16:$AO$110,19,FALSE)</f>
        <v>24130327.270000003</v>
      </c>
      <c r="K33" s="151">
        <f>VLOOKUP($E33,'4.เขตปรับKและเกลี่ยเงินเพิ่มฯ'!$E$16:$X$110,20,FALSE)</f>
        <v>97727172.149999991</v>
      </c>
      <c r="L33" s="151">
        <f>VLOOKUP($E33,'4.เขตปรับKและเกลี่ยเงินเพิ่มฯ'!$E$16:$AO$110,21,FALSE)</f>
        <v>35160113</v>
      </c>
      <c r="M33" s="151">
        <f>VLOOKUP($E33,'4.เขตปรับKและเกลี่ยเงินเพิ่มฯ'!$E$16:$AO$110,22,FALSE)</f>
        <v>62567059.149999999</v>
      </c>
      <c r="N33" s="151">
        <f>VLOOKUP($E33,'4.เขตปรับKและเกลี่ยเงินเพิ่มฯ'!$E$16:$AA$110,23,FALSE)</f>
        <v>0</v>
      </c>
      <c r="O33" s="151">
        <f>VLOOKUP($E33,'4.เขตปรับKและเกลี่ยเงินเพิ่มฯ'!$E$16:$AB$110,24,FALSE)</f>
        <v>62567059.149999999</v>
      </c>
      <c r="P33" s="151">
        <f>VLOOKUP($E33,'4.เขตปรับKและเกลี่ยเงินเพิ่มฯ'!$E$16:$AM$110,35,FALSE)</f>
        <v>0</v>
      </c>
      <c r="Q33" s="151">
        <f t="shared" si="4"/>
        <v>62567059.149999999</v>
      </c>
      <c r="R33" s="151">
        <f>VLOOKUP($E33,'4.เขตปรับKและเกลี่ยเงินเพิ่มฯ'!$E$16:$AI$110,31,FALSE)</f>
        <v>0</v>
      </c>
      <c r="S33" s="151">
        <f>VLOOKUP($E33,'4.เขตปรับKและเกลี่ยเงินเพิ่มฯ'!$E$16:$AH$110,30,FALSE)</f>
        <v>55117200.899999999</v>
      </c>
    </row>
    <row r="34" spans="1:19" s="139" customFormat="1" ht="15" customHeight="1" outlineLevel="2">
      <c r="A34" s="82">
        <v>526</v>
      </c>
      <c r="B34" s="82" t="s">
        <v>26</v>
      </c>
      <c r="C34" s="140" t="s">
        <v>59</v>
      </c>
      <c r="D34" s="140" t="s">
        <v>60</v>
      </c>
      <c r="E34" s="140" t="s">
        <v>87</v>
      </c>
      <c r="F34" s="140" t="s">
        <v>88</v>
      </c>
      <c r="G34" s="151">
        <f>VLOOKUP($E34,'4.เขตปรับKและเกลี่ยเงินเพิ่มฯ'!$E$16:$I$110,5,FALSE)</f>
        <v>1.1000000000000001</v>
      </c>
      <c r="H34" s="151">
        <f>VLOOKUP($E34,'4.เขตปรับKและเกลี่ยเงินเพิ่มฯ'!$E$16:$AO$110,14,FALSE)</f>
        <v>97862301.840000004</v>
      </c>
      <c r="I34" s="151">
        <f>VLOOKUP($E34,'4.เขตปรับKและเกลี่ยเงินเพิ่มฯ'!$E$16:$AO$110,15,FALSE)</f>
        <v>19180993.77</v>
      </c>
      <c r="J34" s="151">
        <f>VLOOKUP($E34,'4.เขตปรับKและเกลี่ยเงินเพิ่มฯ'!$E$16:$AO$110,16,FALSE)+VLOOKUP($E34,'4.เขตปรับKและเกลี่ยเงินเพิ่มฯ'!$E$16:$AO$110,17,FALSE)+VLOOKUP($E34,'4.เขตปรับKและเกลี่ยเงินเพิ่มฯ'!$E$16:$AO$110,18,FALSE)+VLOOKUP($E34,'4.เขตปรับKและเกลี่ยเงินเพิ่มฯ'!$E$16:$AO$110,19,FALSE)</f>
        <v>40231993.93</v>
      </c>
      <c r="K34" s="151">
        <f>VLOOKUP($E34,'4.เขตปรับKและเกลี่ยเงินเพิ่มฯ'!$E$16:$X$110,20,FALSE)</f>
        <v>157275289.53999999</v>
      </c>
      <c r="L34" s="151">
        <f>VLOOKUP($E34,'4.เขตปรับKและเกลี่ยเงินเพิ่มฯ'!$E$16:$AO$110,21,FALSE)</f>
        <v>55750226</v>
      </c>
      <c r="M34" s="151">
        <f>VLOOKUP($E34,'4.เขตปรับKและเกลี่ยเงินเพิ่มฯ'!$E$16:$AO$110,22,FALSE)</f>
        <v>101525063.54000001</v>
      </c>
      <c r="N34" s="151">
        <f>VLOOKUP($E34,'4.เขตปรับKและเกลี่ยเงินเพิ่มฯ'!$E$16:$AA$110,23,FALSE)</f>
        <v>0</v>
      </c>
      <c r="O34" s="151">
        <f>VLOOKUP($E34,'4.เขตปรับKและเกลี่ยเงินเพิ่มฯ'!$E$16:$AB$110,24,FALSE)</f>
        <v>101525063.54000001</v>
      </c>
      <c r="P34" s="151">
        <f>VLOOKUP($E34,'4.เขตปรับKและเกลี่ยเงินเพิ่มฯ'!$E$16:$AM$110,35,FALSE)</f>
        <v>0</v>
      </c>
      <c r="Q34" s="151">
        <f t="shared" si="4"/>
        <v>101525063.54000001</v>
      </c>
      <c r="R34" s="151">
        <f>VLOOKUP($E34,'4.เขตปรับKและเกลี่ยเงินเพิ่มฯ'!$E$16:$AI$110,31,FALSE)</f>
        <v>0</v>
      </c>
      <c r="S34" s="151">
        <f>VLOOKUP($E34,'4.เขตปรับKและเกลี่ยเงินเพิ่มฯ'!$E$16:$AH$110,30,FALSE)</f>
        <v>87957879.370000005</v>
      </c>
    </row>
    <row r="35" spans="1:19" s="139" customFormat="1" ht="15" customHeight="1" outlineLevel="2">
      <c r="A35" s="82">
        <v>527</v>
      </c>
      <c r="B35" s="82" t="s">
        <v>26</v>
      </c>
      <c r="C35" s="140" t="s">
        <v>59</v>
      </c>
      <c r="D35" s="140" t="s">
        <v>60</v>
      </c>
      <c r="E35" s="140" t="s">
        <v>89</v>
      </c>
      <c r="F35" s="140" t="s">
        <v>90</v>
      </c>
      <c r="G35" s="151">
        <f>VLOOKUP($E35,'4.เขตปรับKและเกลี่ยเงินเพิ่มฯ'!$E$16:$I$110,5,FALSE)</f>
        <v>1.3</v>
      </c>
      <c r="H35" s="151">
        <f>VLOOKUP($E35,'4.เขตปรับKและเกลี่ยเงินเพิ่มฯ'!$E$16:$AO$110,14,FALSE)</f>
        <v>34545809.189999998</v>
      </c>
      <c r="I35" s="151">
        <f>VLOOKUP($E35,'4.เขตปรับKและเกลี่ยเงินเพิ่มฯ'!$E$16:$AO$110,15,FALSE)</f>
        <v>6770972.46</v>
      </c>
      <c r="J35" s="151">
        <f>VLOOKUP($E35,'4.เขตปรับKและเกลี่ยเงินเพิ่มฯ'!$E$16:$AO$110,16,FALSE)+VLOOKUP($E35,'4.เขตปรับKและเกลี่ยเงินเพิ่มฯ'!$E$16:$AO$110,17,FALSE)+VLOOKUP($E35,'4.เขตปรับKและเกลี่ยเงินเพิ่มฯ'!$E$16:$AO$110,18,FALSE)+VLOOKUP($E35,'4.เขตปรับKและเกลี่ยเงินเพิ่มฯ'!$E$16:$AO$110,19,FALSE)</f>
        <v>11810220.459999999</v>
      </c>
      <c r="K35" s="151">
        <f>VLOOKUP($E35,'4.เขตปรับKและเกลี่ยเงินเพิ่มฯ'!$E$16:$X$110,20,FALSE)</f>
        <v>53127002.109999999</v>
      </c>
      <c r="L35" s="151">
        <f>VLOOKUP($E35,'4.เขตปรับKและเกลี่ยเงินเพิ่มฯ'!$E$16:$AO$110,21,FALSE)</f>
        <v>18750690</v>
      </c>
      <c r="M35" s="151">
        <f>VLOOKUP($E35,'4.เขตปรับKและเกลี่ยเงินเพิ่มฯ'!$E$16:$AO$110,22,FALSE)</f>
        <v>34376312.109999999</v>
      </c>
      <c r="N35" s="151">
        <f>VLOOKUP($E35,'4.เขตปรับKและเกลี่ยเงินเพิ่มฯ'!$E$16:$AA$110,23,FALSE)</f>
        <v>0</v>
      </c>
      <c r="O35" s="151">
        <f>VLOOKUP($E35,'4.เขตปรับKและเกลี่ยเงินเพิ่มฯ'!$E$16:$AB$110,24,FALSE)</f>
        <v>34376312.109999999</v>
      </c>
      <c r="P35" s="151">
        <f>VLOOKUP($E35,'4.เขตปรับKและเกลี่ยเงินเพิ่มฯ'!$E$16:$AM$110,35,FALSE)</f>
        <v>0</v>
      </c>
      <c r="Q35" s="151">
        <f t="shared" si="4"/>
        <v>34376312.109999999</v>
      </c>
      <c r="R35" s="151">
        <f>VLOOKUP($E35,'4.เขตปรับKและเกลี่ยเงินเพิ่มฯ'!$E$16:$AI$110,31,FALSE)</f>
        <v>0</v>
      </c>
      <c r="S35" s="151">
        <f>VLOOKUP($E35,'4.เขตปรับKและเกลี่ยเงินเพิ่มฯ'!$E$16:$AH$110,30,FALSE)</f>
        <v>26027551.149999999</v>
      </c>
    </row>
    <row r="36" spans="1:19" s="139" customFormat="1" ht="15" customHeight="1" outlineLevel="2">
      <c r="A36" s="82">
        <v>528</v>
      </c>
      <c r="B36" s="82" t="s">
        <v>26</v>
      </c>
      <c r="C36" s="140" t="s">
        <v>59</v>
      </c>
      <c r="D36" s="140" t="s">
        <v>60</v>
      </c>
      <c r="E36" s="140" t="s">
        <v>91</v>
      </c>
      <c r="F36" s="140" t="s">
        <v>92</v>
      </c>
      <c r="G36" s="151">
        <f>VLOOKUP($E36,'4.เขตปรับKและเกลี่ยเงินเพิ่มฯ'!$E$16:$I$110,5,FALSE)</f>
        <v>1.3</v>
      </c>
      <c r="H36" s="151">
        <f>VLOOKUP($E36,'4.เขตปรับKและเกลี่ยเงินเพิ่มฯ'!$E$16:$AO$110,14,FALSE)</f>
        <v>32738778.32</v>
      </c>
      <c r="I36" s="151">
        <f>VLOOKUP($E36,'4.เขตปรับKและเกลี่ยเงินเพิ่มฯ'!$E$16:$AO$110,15,FALSE)</f>
        <v>6416794.7300000004</v>
      </c>
      <c r="J36" s="151">
        <f>VLOOKUP($E36,'4.เขตปรับKและเกลี่ยเงินเพิ่มฯ'!$E$16:$AO$110,16,FALSE)+VLOOKUP($E36,'4.เขตปรับKและเกลี่ยเงินเพิ่มฯ'!$E$16:$AO$110,17,FALSE)+VLOOKUP($E36,'4.เขตปรับKและเกลี่ยเงินเพิ่มฯ'!$E$16:$AO$110,18,FALSE)+VLOOKUP($E36,'4.เขตปรับKและเกลี่ยเงินเพิ่มฯ'!$E$16:$AO$110,19,FALSE)</f>
        <v>9421442.5099999998</v>
      </c>
      <c r="K36" s="151">
        <f>VLOOKUP($E36,'4.เขตปรับKและเกลี่ยเงินเพิ่มฯ'!$E$16:$X$110,20,FALSE)</f>
        <v>48577015.559999995</v>
      </c>
      <c r="L36" s="151">
        <f>VLOOKUP($E36,'4.เขตปรับKและเกลี่ยเงินเพิ่มฯ'!$E$16:$AO$110,21,FALSE)</f>
        <v>23331628</v>
      </c>
      <c r="M36" s="151">
        <f>VLOOKUP($E36,'4.เขตปรับKและเกลี่ยเงินเพิ่มฯ'!$E$16:$AO$110,22,FALSE)</f>
        <v>25245387.559999999</v>
      </c>
      <c r="N36" s="151">
        <f>VLOOKUP($E36,'4.เขตปรับKและเกลี่ยเงินเพิ่มฯ'!$E$16:$AA$110,23,FALSE)</f>
        <v>0</v>
      </c>
      <c r="O36" s="151">
        <f>VLOOKUP($E36,'4.เขตปรับKและเกลี่ยเงินเพิ่มฯ'!$E$16:$AB$110,24,FALSE)</f>
        <v>25245387.559999999</v>
      </c>
      <c r="P36" s="151">
        <f>VLOOKUP($E36,'4.เขตปรับKและเกลี่ยเงินเพิ่มฯ'!$E$16:$AM$110,35,FALSE)</f>
        <v>0</v>
      </c>
      <c r="Q36" s="151">
        <f t="shared" si="4"/>
        <v>25245387.559999999</v>
      </c>
      <c r="R36" s="151">
        <f>VLOOKUP($E36,'4.เขตปรับKและเกลี่ยเงินเพิ่มฯ'!$E$16:$AI$110,31,FALSE)</f>
        <v>0</v>
      </c>
      <c r="S36" s="151">
        <f>VLOOKUP($E36,'4.เขตปรับKและเกลี่ยเงินเพิ่มฯ'!$E$16:$AH$110,30,FALSE)</f>
        <v>21771038.68</v>
      </c>
    </row>
    <row r="37" spans="1:19" s="139" customFormat="1" ht="15" customHeight="1" outlineLevel="2">
      <c r="A37" s="82">
        <v>529</v>
      </c>
      <c r="B37" s="82" t="s">
        <v>26</v>
      </c>
      <c r="C37" s="140" t="s">
        <v>59</v>
      </c>
      <c r="D37" s="140" t="s">
        <v>60</v>
      </c>
      <c r="E37" s="140" t="s">
        <v>93</v>
      </c>
      <c r="F37" s="140" t="s">
        <v>94</v>
      </c>
      <c r="G37" s="151">
        <f>VLOOKUP($E37,'4.เขตปรับKและเกลี่ยเงินเพิ่มฯ'!$E$16:$I$110,5,FALSE)</f>
        <v>1.3</v>
      </c>
      <c r="H37" s="151">
        <f>VLOOKUP($E37,'4.เขตปรับKและเกลี่ยเงินเพิ่มฯ'!$E$16:$AO$110,14,FALSE)</f>
        <v>36214707.060000002</v>
      </c>
      <c r="I37" s="151">
        <f>VLOOKUP($E37,'4.เขตปรับKและเกลี่ยเงินเพิ่มฯ'!$E$16:$AO$110,15,FALSE)</f>
        <v>7098076.1500000004</v>
      </c>
      <c r="J37" s="151">
        <f>VLOOKUP($E37,'4.เขตปรับKและเกลี่ยเงินเพิ่มฯ'!$E$16:$AO$110,16,FALSE)+VLOOKUP($E37,'4.เขตปรับKและเกลี่ยเงินเพิ่มฯ'!$E$16:$AO$110,17,FALSE)+VLOOKUP($E37,'4.เขตปรับKและเกลี่ยเงินเพิ่มฯ'!$E$16:$AO$110,18,FALSE)+VLOOKUP($E37,'4.เขตปรับKและเกลี่ยเงินเพิ่มฯ'!$E$16:$AO$110,19,FALSE)</f>
        <v>12375378.930000002</v>
      </c>
      <c r="K37" s="151">
        <f>VLOOKUP($E37,'4.เขตปรับKและเกลี่ยเงินเพิ่มฯ'!$E$16:$X$110,20,FALSE)</f>
        <v>55688162.140000001</v>
      </c>
      <c r="L37" s="151">
        <f>VLOOKUP($E37,'4.เขตปรับKและเกลี่ยเงินเพิ่มฯ'!$E$16:$AO$110,21,FALSE)</f>
        <v>17037701</v>
      </c>
      <c r="M37" s="151">
        <f>VLOOKUP($E37,'4.เขตปรับKและเกลี่ยเงินเพิ่มฯ'!$E$16:$AO$110,22,FALSE)</f>
        <v>38650461.140000001</v>
      </c>
      <c r="N37" s="151">
        <f>VLOOKUP($E37,'4.เขตปรับKและเกลี่ยเงินเพิ่มฯ'!$E$16:$AA$110,23,FALSE)</f>
        <v>0</v>
      </c>
      <c r="O37" s="151">
        <f>VLOOKUP($E37,'4.เขตปรับKและเกลี่ยเงินเพิ่มฯ'!$E$16:$AB$110,24,FALSE)</f>
        <v>38650461.140000001</v>
      </c>
      <c r="P37" s="151">
        <f>VLOOKUP($E37,'4.เขตปรับKและเกลี่ยเงินเพิ่มฯ'!$E$16:$AM$110,35,FALSE)</f>
        <v>0</v>
      </c>
      <c r="Q37" s="151">
        <f t="shared" si="4"/>
        <v>38650461.140000001</v>
      </c>
      <c r="R37" s="151">
        <f>VLOOKUP($E37,'4.เขตปรับKและเกลี่ยเงินเพิ่มฯ'!$E$16:$AI$110,31,FALSE)</f>
        <v>0</v>
      </c>
      <c r="S37" s="151">
        <f>VLOOKUP($E37,'4.เขตปรับKและเกลี่ยเงินเพิ่มฯ'!$E$16:$AH$110,30,FALSE)</f>
        <v>28789075.140000001</v>
      </c>
    </row>
    <row r="38" spans="1:19" s="139" customFormat="1" ht="15" customHeight="1" outlineLevel="2">
      <c r="A38" s="82">
        <v>530</v>
      </c>
      <c r="B38" s="82" t="s">
        <v>26</v>
      </c>
      <c r="C38" s="140" t="s">
        <v>59</v>
      </c>
      <c r="D38" s="140" t="s">
        <v>60</v>
      </c>
      <c r="E38" s="140" t="s">
        <v>95</v>
      </c>
      <c r="F38" s="140" t="s">
        <v>96</v>
      </c>
      <c r="G38" s="151">
        <f>VLOOKUP($E38,'4.เขตปรับKและเกลี่ยเงินเพิ่มฯ'!$E$16:$I$110,5,FALSE)</f>
        <v>1.35</v>
      </c>
      <c r="H38" s="151">
        <f>VLOOKUP($E38,'4.เขตปรับKและเกลี่ยเงินเพิ่มฯ'!$E$16:$AO$110,14,FALSE)</f>
        <v>30699253.440000001</v>
      </c>
      <c r="I38" s="151">
        <f>VLOOKUP($E38,'4.เขตปรับKและเกลี่ยเงินเพิ่มฯ'!$E$16:$AO$110,15,FALSE)</f>
        <v>6017048.2199999997</v>
      </c>
      <c r="J38" s="151">
        <f>VLOOKUP($E38,'4.เขตปรับKและเกลี่ยเงินเพิ่มฯ'!$E$16:$AO$110,16,FALSE)+VLOOKUP($E38,'4.เขตปรับKและเกลี่ยเงินเพิ่มฯ'!$E$16:$AO$110,17,FALSE)+VLOOKUP($E38,'4.เขตปรับKและเกลี่ยเงินเพิ่มฯ'!$E$16:$AO$110,18,FALSE)+VLOOKUP($E38,'4.เขตปรับKและเกลี่ยเงินเพิ่มฯ'!$E$16:$AO$110,19,FALSE)</f>
        <v>14313253.039999999</v>
      </c>
      <c r="K38" s="151">
        <f>VLOOKUP($E38,'4.เขตปรับKและเกลี่ยเงินเพิ่มฯ'!$E$16:$X$110,20,FALSE)</f>
        <v>51029554.700000003</v>
      </c>
      <c r="L38" s="151">
        <f>VLOOKUP($E38,'4.เขตปรับKและเกลี่ยเงินเพิ่มฯ'!$E$16:$AO$110,21,FALSE)</f>
        <v>20498226</v>
      </c>
      <c r="M38" s="151">
        <f>VLOOKUP($E38,'4.เขตปรับKและเกลี่ยเงินเพิ่มฯ'!$E$16:$AO$110,22,FALSE)</f>
        <v>30531328.699999999</v>
      </c>
      <c r="N38" s="151">
        <f>VLOOKUP($E38,'4.เขตปรับKและเกลี่ยเงินเพิ่มฯ'!$E$16:$AA$110,23,FALSE)</f>
        <v>0</v>
      </c>
      <c r="O38" s="151">
        <f>VLOOKUP($E38,'4.เขตปรับKและเกลี่ยเงินเพิ่มฯ'!$E$16:$AB$110,24,FALSE)</f>
        <v>30531328.699999999</v>
      </c>
      <c r="P38" s="151">
        <f>VLOOKUP($E38,'4.เขตปรับKและเกลี่ยเงินเพิ่มฯ'!$E$16:$AM$110,35,FALSE)</f>
        <v>0</v>
      </c>
      <c r="Q38" s="151">
        <f t="shared" si="4"/>
        <v>30531328.699999999</v>
      </c>
      <c r="R38" s="151">
        <f>VLOOKUP($E38,'4.เขตปรับKและเกลี่ยเงินเพิ่มฯ'!$E$16:$AI$110,31,FALSE)</f>
        <v>0</v>
      </c>
      <c r="S38" s="151">
        <f>VLOOKUP($E38,'4.เขตปรับKและเกลี่ยเงินเพิ่มฯ'!$E$16:$AH$110,30,FALSE)</f>
        <v>24335912.359999999</v>
      </c>
    </row>
    <row r="39" spans="1:19" s="139" customFormat="1" ht="15" customHeight="1" outlineLevel="2">
      <c r="A39" s="82">
        <v>531</v>
      </c>
      <c r="B39" s="82" t="s">
        <v>26</v>
      </c>
      <c r="C39" s="140" t="s">
        <v>59</v>
      </c>
      <c r="D39" s="140" t="s">
        <v>60</v>
      </c>
      <c r="E39" s="140" t="s">
        <v>97</v>
      </c>
      <c r="F39" s="140" t="s">
        <v>98</v>
      </c>
      <c r="G39" s="151">
        <f>VLOOKUP($E39,'4.เขตปรับKและเกลี่ยเงินเพิ่มฯ'!$E$16:$I$110,5,FALSE)</f>
        <v>1.1000000000000001</v>
      </c>
      <c r="H39" s="151">
        <f>VLOOKUP($E39,'4.เขตปรับKและเกลี่ยเงินเพิ่มฯ'!$E$16:$AO$110,14,FALSE)</f>
        <v>106191453.05</v>
      </c>
      <c r="I39" s="151">
        <f>VLOOKUP($E39,'4.เขตปรับKและเกลี่ยเงินเพิ่มฯ'!$E$16:$AO$110,15,FALSE)</f>
        <v>20813505.93</v>
      </c>
      <c r="J39" s="151">
        <f>VLOOKUP($E39,'4.เขตปรับKและเกลี่ยเงินเพิ่มฯ'!$E$16:$AO$110,16,FALSE)+VLOOKUP($E39,'4.เขตปรับKและเกลี่ยเงินเพิ่มฯ'!$E$16:$AO$110,17,FALSE)+VLOOKUP($E39,'4.เขตปรับKและเกลี่ยเงินเพิ่มฯ'!$E$16:$AO$110,18,FALSE)+VLOOKUP($E39,'4.เขตปรับKและเกลี่ยเงินเพิ่มฯ'!$E$16:$AO$110,19,FALSE)</f>
        <v>54862203.219999999</v>
      </c>
      <c r="K39" s="151">
        <f>VLOOKUP($E39,'4.เขตปรับKและเกลี่ยเงินเพิ่มฯ'!$E$16:$X$110,20,FALSE)</f>
        <v>181867162.19999999</v>
      </c>
      <c r="L39" s="151">
        <f>VLOOKUP($E39,'4.เขตปรับKและเกลี่ยเงินเพิ่มฯ'!$E$16:$AO$110,21,FALSE)</f>
        <v>64147885</v>
      </c>
      <c r="M39" s="151">
        <f>VLOOKUP($E39,'4.เขตปรับKและเกลี่ยเงินเพิ่มฯ'!$E$16:$AO$110,22,FALSE)</f>
        <v>117719277.2</v>
      </c>
      <c r="N39" s="151">
        <f>VLOOKUP($E39,'4.เขตปรับKและเกลี่ยเงินเพิ่มฯ'!$E$16:$AA$110,23,FALSE)</f>
        <v>0</v>
      </c>
      <c r="O39" s="151">
        <f>VLOOKUP($E39,'4.เขตปรับKและเกลี่ยเงินเพิ่มฯ'!$E$16:$AB$110,24,FALSE)</f>
        <v>117719277.2</v>
      </c>
      <c r="P39" s="151">
        <f>VLOOKUP($E39,'4.เขตปรับKและเกลี่ยเงินเพิ่มฯ'!$E$16:$AM$110,35,FALSE)</f>
        <v>0</v>
      </c>
      <c r="Q39" s="151">
        <f t="shared" si="4"/>
        <v>117719277.2</v>
      </c>
      <c r="R39" s="151">
        <f>VLOOKUP($E39,'4.เขตปรับKและเกลี่ยเงินเพิ่มฯ'!$E$16:$AI$110,31,FALSE)</f>
        <v>0</v>
      </c>
      <c r="S39" s="151">
        <f>VLOOKUP($E39,'4.เขตปรับKและเกลี่ยเงินเพิ่มฯ'!$E$16:$AH$110,30,FALSE)</f>
        <v>109914667.83</v>
      </c>
    </row>
    <row r="40" spans="1:19" s="139" customFormat="1" ht="15" customHeight="1" outlineLevel="2">
      <c r="A40" s="82">
        <v>532</v>
      </c>
      <c r="B40" s="82" t="s">
        <v>26</v>
      </c>
      <c r="C40" s="140" t="s">
        <v>59</v>
      </c>
      <c r="D40" s="140" t="s">
        <v>60</v>
      </c>
      <c r="E40" s="140" t="s">
        <v>99</v>
      </c>
      <c r="F40" s="140" t="s">
        <v>100</v>
      </c>
      <c r="G40" s="151">
        <f>VLOOKUP($E40,'4.เขตปรับKและเกลี่ยเงินเพิ่มฯ'!$E$16:$I$110,5,FALSE)</f>
        <v>1.35</v>
      </c>
      <c r="H40" s="151">
        <f>VLOOKUP($E40,'4.เขตปรับKและเกลี่ยเงินเพิ่มฯ'!$E$16:$AO$110,14,FALSE)</f>
        <v>29054573.699999999</v>
      </c>
      <c r="I40" s="151">
        <f>VLOOKUP($E40,'4.เขตปรับKและเกลี่ยเงินเพิ่มฯ'!$E$16:$AO$110,15,FALSE)</f>
        <v>5694691.2800000003</v>
      </c>
      <c r="J40" s="151">
        <f>VLOOKUP($E40,'4.เขตปรับKและเกลี่ยเงินเพิ่มฯ'!$E$16:$AO$110,16,FALSE)+VLOOKUP($E40,'4.เขตปรับKและเกลี่ยเงินเพิ่มฯ'!$E$16:$AO$110,17,FALSE)+VLOOKUP($E40,'4.เขตปรับKและเกลี่ยเงินเพิ่มฯ'!$E$16:$AO$110,18,FALSE)+VLOOKUP($E40,'4.เขตปรับKและเกลี่ยเงินเพิ่มฯ'!$E$16:$AO$110,19,FALSE)</f>
        <v>9020632.7199999988</v>
      </c>
      <c r="K40" s="151">
        <f>VLOOKUP($E40,'4.เขตปรับKและเกลี่ยเงินเพิ่มฯ'!$E$16:$X$110,20,FALSE)</f>
        <v>43769897.699999996</v>
      </c>
      <c r="L40" s="151">
        <f>VLOOKUP($E40,'4.เขตปรับKและเกลี่ยเงินเพิ่มฯ'!$E$16:$AO$110,21,FALSE)</f>
        <v>13969349</v>
      </c>
      <c r="M40" s="151">
        <f>VLOOKUP($E40,'4.เขตปรับKและเกลี่ยเงินเพิ่มฯ'!$E$16:$AO$110,22,FALSE)</f>
        <v>29800548.699999999</v>
      </c>
      <c r="N40" s="151">
        <f>VLOOKUP($E40,'4.เขตปรับKและเกลี่ยเงินเพิ่มฯ'!$E$16:$AA$110,23,FALSE)</f>
        <v>0</v>
      </c>
      <c r="O40" s="151">
        <f>VLOOKUP($E40,'4.เขตปรับKและเกลี่ยเงินเพิ่มฯ'!$E$16:$AB$110,24,FALSE)</f>
        <v>29800548.699999999</v>
      </c>
      <c r="P40" s="151">
        <f>VLOOKUP($E40,'4.เขตปรับKและเกลี่ยเงินเพิ่มฯ'!$E$16:$AM$110,35,FALSE)</f>
        <v>0</v>
      </c>
      <c r="Q40" s="151">
        <f t="shared" si="4"/>
        <v>29800548.699999999</v>
      </c>
      <c r="R40" s="151">
        <f>VLOOKUP($E40,'4.เขตปรับKและเกลี่ยเงินเพิ่มฯ'!$E$16:$AI$110,31,FALSE)</f>
        <v>0</v>
      </c>
      <c r="S40" s="151">
        <f>VLOOKUP($E40,'4.เขตปรับKและเกลี่ยเงินเพิ่มฯ'!$E$16:$AH$110,30,FALSE)</f>
        <v>22486734.449999999</v>
      </c>
    </row>
    <row r="41" spans="1:19" s="139" customFormat="1" ht="15" customHeight="1" outlineLevel="2">
      <c r="A41" s="82">
        <v>533</v>
      </c>
      <c r="B41" s="82" t="s">
        <v>26</v>
      </c>
      <c r="C41" s="140" t="s">
        <v>59</v>
      </c>
      <c r="D41" s="140" t="s">
        <v>60</v>
      </c>
      <c r="E41" s="140" t="s">
        <v>101</v>
      </c>
      <c r="F41" s="140" t="s">
        <v>102</v>
      </c>
      <c r="G41" s="151">
        <f>VLOOKUP($E41,'4.เขตปรับKและเกลี่ยเงินเพิ่มฯ'!$E$16:$I$110,5,FALSE)</f>
        <v>1.35</v>
      </c>
      <c r="H41" s="151">
        <f>VLOOKUP($E41,'4.เขตปรับKและเกลี่ยเงินเพิ่มฯ'!$E$16:$AO$110,14,FALSE)</f>
        <v>30234265.449999999</v>
      </c>
      <c r="I41" s="151">
        <f>VLOOKUP($E41,'4.เขตปรับKและเกลี่ยเงินเพิ่มฯ'!$E$16:$AO$110,15,FALSE)</f>
        <v>5925910.6500000004</v>
      </c>
      <c r="J41" s="151">
        <f>VLOOKUP($E41,'4.เขตปรับKและเกลี่ยเงินเพิ่มฯ'!$E$16:$AO$110,16,FALSE)+VLOOKUP($E41,'4.เขตปรับKและเกลี่ยเงินเพิ่มฯ'!$E$16:$AO$110,17,FALSE)+VLOOKUP($E41,'4.เขตปรับKและเกลี่ยเงินเพิ่มฯ'!$E$16:$AO$110,18,FALSE)+VLOOKUP($E41,'4.เขตปรับKและเกลี่ยเงินเพิ่มฯ'!$E$16:$AO$110,19,FALSE)</f>
        <v>7080606.2400000002</v>
      </c>
      <c r="K41" s="151">
        <f>VLOOKUP($E41,'4.เขตปรับKและเกลี่ยเงินเพิ่มฯ'!$E$16:$X$110,20,FALSE)</f>
        <v>43240782.340000004</v>
      </c>
      <c r="L41" s="151">
        <f>VLOOKUP($E41,'4.เขตปรับKและเกลี่ยเงินเพิ่มฯ'!$E$16:$AO$110,21,FALSE)</f>
        <v>14357904</v>
      </c>
      <c r="M41" s="151">
        <f>VLOOKUP($E41,'4.เขตปรับKและเกลี่ยเงินเพิ่มฯ'!$E$16:$AO$110,22,FALSE)</f>
        <v>28882878.34</v>
      </c>
      <c r="N41" s="151">
        <f>VLOOKUP($E41,'4.เขตปรับKและเกลี่ยเงินเพิ่มฯ'!$E$16:$AA$110,23,FALSE)</f>
        <v>0</v>
      </c>
      <c r="O41" s="151">
        <f>VLOOKUP($E41,'4.เขตปรับKและเกลี่ยเงินเพิ่มฯ'!$E$16:$AB$110,24,FALSE)</f>
        <v>28882878.34</v>
      </c>
      <c r="P41" s="151">
        <f>VLOOKUP($E41,'4.เขตปรับKและเกลี่ยเงินเพิ่มฯ'!$E$16:$AM$110,35,FALSE)</f>
        <v>0</v>
      </c>
      <c r="Q41" s="151">
        <f t="shared" si="4"/>
        <v>28882878.34</v>
      </c>
      <c r="R41" s="151">
        <f>VLOOKUP($E41,'4.เขตปรับKและเกลี่ยเงินเพิ่มฯ'!$E$16:$AI$110,31,FALSE)</f>
        <v>0</v>
      </c>
      <c r="S41" s="151">
        <f>VLOOKUP($E41,'4.เขตปรับKและเกลี่ยเงินเพิ่มฯ'!$E$16:$AH$110,30,FALSE)</f>
        <v>21123306.710000001</v>
      </c>
    </row>
    <row r="42" spans="1:19" s="139" customFormat="1" ht="15" customHeight="1" outlineLevel="1">
      <c r="A42" s="153"/>
      <c r="B42" s="153"/>
      <c r="C42" s="152"/>
      <c r="D42" s="154" t="s">
        <v>265</v>
      </c>
      <c r="E42" s="155"/>
      <c r="F42" s="155"/>
      <c r="G42" s="156"/>
      <c r="H42" s="156">
        <f t="shared" ref="H42:S42" si="5">SUBTOTAL(9,H21:H41)</f>
        <v>1355554312.23</v>
      </c>
      <c r="I42" s="156">
        <f t="shared" si="5"/>
        <v>265688404.29000002</v>
      </c>
      <c r="J42" s="156">
        <f t="shared" si="5"/>
        <v>1401189731.3200002</v>
      </c>
      <c r="K42" s="156">
        <f t="shared" si="5"/>
        <v>3022432447.8399997</v>
      </c>
      <c r="L42" s="156">
        <f t="shared" si="5"/>
        <v>1297818300</v>
      </c>
      <c r="M42" s="156">
        <f t="shared" si="5"/>
        <v>1724614147.8400002</v>
      </c>
      <c r="N42" s="156">
        <f t="shared" si="5"/>
        <v>9825763.0099999998</v>
      </c>
      <c r="O42" s="156">
        <f t="shared" si="5"/>
        <v>1734439910.8500001</v>
      </c>
      <c r="P42" s="156">
        <f t="shared" si="5"/>
        <v>0</v>
      </c>
      <c r="Q42" s="156">
        <f t="shared" si="5"/>
        <v>1734439910.8500001</v>
      </c>
      <c r="R42" s="156">
        <f t="shared" si="5"/>
        <v>0</v>
      </c>
      <c r="S42" s="156">
        <f t="shared" si="5"/>
        <v>1538110212.0599999</v>
      </c>
    </row>
    <row r="43" spans="1:19" s="139" customFormat="1" ht="15" customHeight="1" outlineLevel="2">
      <c r="A43" s="141">
        <v>534</v>
      </c>
      <c r="B43" s="141" t="s">
        <v>26</v>
      </c>
      <c r="C43" s="140" t="s">
        <v>103</v>
      </c>
      <c r="D43" s="142" t="s">
        <v>104</v>
      </c>
      <c r="E43" s="142" t="s">
        <v>105</v>
      </c>
      <c r="F43" s="142" t="s">
        <v>106</v>
      </c>
      <c r="G43" s="151">
        <f>VLOOKUP($E43,'4.เขตปรับKและเกลี่ยเงินเพิ่มฯ'!$E$16:$I$110,5,FALSE)</f>
        <v>1.1000000000000001</v>
      </c>
      <c r="H43" s="151">
        <f>VLOOKUP($E43,'4.เขตปรับKและเกลี่ยเงินเพิ่มฯ'!$E$16:$AO$110,14,FALSE)</f>
        <v>104464675.58</v>
      </c>
      <c r="I43" s="151">
        <f>VLOOKUP($E43,'4.เขตปรับKและเกลี่ยเงินเพิ่มฯ'!$E$16:$AO$110,15,FALSE)</f>
        <v>20012189.43</v>
      </c>
      <c r="J43" s="151">
        <f>VLOOKUP($E43,'4.เขตปรับKและเกลี่ยเงินเพิ่มฯ'!$E$16:$AO$110,16,FALSE)+VLOOKUP($E43,'4.เขตปรับKและเกลี่ยเงินเพิ่มฯ'!$E$16:$AO$110,17,FALSE)+VLOOKUP($E43,'4.เขตปรับKและเกลี่ยเงินเพิ่มฯ'!$E$16:$AO$110,18,FALSE)+VLOOKUP($E43,'4.เขตปรับKและเกลี่ยเงินเพิ่มฯ'!$E$16:$AO$110,19,FALSE)</f>
        <v>358013468.76999998</v>
      </c>
      <c r="K43" s="151">
        <f>VLOOKUP($E43,'4.เขตปรับKและเกลี่ยเงินเพิ่มฯ'!$E$16:$X$110,20,FALSE)</f>
        <v>482490333.77999997</v>
      </c>
      <c r="L43" s="151">
        <f>VLOOKUP($E43,'4.เขตปรับKและเกลี่ยเงินเพิ่มฯ'!$E$16:$AO$110,21,FALSE)</f>
        <v>244498112</v>
      </c>
      <c r="M43" s="151">
        <f>VLOOKUP($E43,'4.เขตปรับKและเกลี่ยเงินเพิ่มฯ'!$E$16:$AO$110,22,FALSE)</f>
        <v>237992221.78</v>
      </c>
      <c r="N43" s="151">
        <f>VLOOKUP($E43,'4.เขตปรับKและเกลี่ยเงินเพิ่มฯ'!$E$16:$AA$110,23,FALSE)</f>
        <v>4384288.74</v>
      </c>
      <c r="O43" s="151">
        <f>VLOOKUP($E43,'4.เขตปรับKและเกลี่ยเงินเพิ่มฯ'!$E$16:$AB$110,24,FALSE)</f>
        <v>242376510.52000001</v>
      </c>
      <c r="P43" s="151">
        <f>VLOOKUP($E43,'4.เขตปรับKและเกลี่ยเงินเพิ่มฯ'!$E$16:$AM$110,35,FALSE)</f>
        <v>0</v>
      </c>
      <c r="Q43" s="151">
        <f t="shared" ref="Q43:Q56" si="6">ROUND(O43-P43,2)</f>
        <v>242376510.52000001</v>
      </c>
      <c r="R43" s="151">
        <f>VLOOKUP($E43,'4.เขตปรับKและเกลี่ยเงินเพิ่มฯ'!$E$16:$AI$110,31,FALSE)</f>
        <v>0</v>
      </c>
      <c r="S43" s="151">
        <f>VLOOKUP($E43,'4.เขตปรับKและเกลี่ยเงินเพิ่มฯ'!$E$16:$AH$110,30,FALSE)</f>
        <v>242376510.52000001</v>
      </c>
    </row>
    <row r="44" spans="1:19" s="139" customFormat="1" ht="15" customHeight="1" outlineLevel="2">
      <c r="A44" s="82">
        <v>535</v>
      </c>
      <c r="B44" s="82" t="s">
        <v>26</v>
      </c>
      <c r="C44" s="140" t="s">
        <v>103</v>
      </c>
      <c r="D44" s="140" t="s">
        <v>104</v>
      </c>
      <c r="E44" s="140" t="s">
        <v>107</v>
      </c>
      <c r="F44" s="140" t="s">
        <v>108</v>
      </c>
      <c r="G44" s="151">
        <f>VLOOKUP($E44,'4.เขตปรับKและเกลี่ยเงินเพิ่มฯ'!$E$16:$I$110,5,FALSE)</f>
        <v>1.3</v>
      </c>
      <c r="H44" s="151">
        <f>VLOOKUP($E44,'4.เขตปรับKและเกลี่ยเงินเพิ่มฯ'!$E$16:$AO$110,14,FALSE)</f>
        <v>34344052.310000002</v>
      </c>
      <c r="I44" s="151">
        <f>VLOOKUP($E44,'4.เขตปรับKและเกลี่ยเงินเพิ่มฯ'!$E$16:$AO$110,15,FALSE)</f>
        <v>6579254.4400000004</v>
      </c>
      <c r="J44" s="151">
        <f>VLOOKUP($E44,'4.เขตปรับKและเกลี่ยเงินเพิ่มฯ'!$E$16:$AO$110,16,FALSE)+VLOOKUP($E44,'4.เขตปรับKและเกลี่ยเงินเพิ่มฯ'!$E$16:$AO$110,17,FALSE)+VLOOKUP($E44,'4.เขตปรับKและเกลี่ยเงินเพิ่มฯ'!$E$16:$AO$110,18,FALSE)+VLOOKUP($E44,'4.เขตปรับKและเกลี่ยเงินเพิ่มฯ'!$E$16:$AO$110,19,FALSE)</f>
        <v>11895971.159999998</v>
      </c>
      <c r="K44" s="151">
        <f>VLOOKUP($E44,'4.เขตปรับKและเกลี่ยเงินเพิ่มฯ'!$E$16:$X$110,20,FALSE)</f>
        <v>52819277.909999996</v>
      </c>
      <c r="L44" s="151">
        <f>VLOOKUP($E44,'4.เขตปรับKและเกลี่ยเงินเพิ่มฯ'!$E$16:$AO$110,21,FALSE)</f>
        <v>20518310</v>
      </c>
      <c r="M44" s="151">
        <f>VLOOKUP($E44,'4.เขตปรับKและเกลี่ยเงินเพิ่มฯ'!$E$16:$AO$110,22,FALSE)</f>
        <v>32300967.91</v>
      </c>
      <c r="N44" s="151">
        <f>VLOOKUP($E44,'4.เขตปรับKและเกลี่ยเงินเพิ่มฯ'!$E$16:$AA$110,23,FALSE)</f>
        <v>0</v>
      </c>
      <c r="O44" s="151">
        <f>VLOOKUP($E44,'4.เขตปรับKและเกลี่ยเงินเพิ่มฯ'!$E$16:$AB$110,24,FALSE)</f>
        <v>32300967.91</v>
      </c>
      <c r="P44" s="151">
        <f>VLOOKUP($E44,'4.เขตปรับKและเกลี่ยเงินเพิ่มฯ'!$E$16:$AM$110,35,FALSE)</f>
        <v>0</v>
      </c>
      <c r="Q44" s="151">
        <f t="shared" si="6"/>
        <v>32300967.91</v>
      </c>
      <c r="R44" s="151">
        <f>VLOOKUP($E44,'4.เขตปรับKและเกลี่ยเงินเพิ่มฯ'!$E$16:$AI$110,31,FALSE)</f>
        <v>0</v>
      </c>
      <c r="S44" s="151">
        <f>VLOOKUP($E44,'4.เขตปรับKและเกลี่ยเงินเพิ่มฯ'!$E$16:$AH$110,30,FALSE)</f>
        <v>26378632.890000001</v>
      </c>
    </row>
    <row r="45" spans="1:19" s="139" customFormat="1" ht="15" customHeight="1" outlineLevel="2">
      <c r="A45" s="82">
        <v>536</v>
      </c>
      <c r="B45" s="82" t="s">
        <v>26</v>
      </c>
      <c r="C45" s="140" t="s">
        <v>103</v>
      </c>
      <c r="D45" s="140" t="s">
        <v>104</v>
      </c>
      <c r="E45" s="140" t="s">
        <v>109</v>
      </c>
      <c r="F45" s="140" t="s">
        <v>110</v>
      </c>
      <c r="G45" s="151">
        <f>VLOOKUP($E45,'4.เขตปรับKและเกลี่ยเงินเพิ่มฯ'!$E$16:$I$110,5,FALSE)</f>
        <v>1.2</v>
      </c>
      <c r="H45" s="151">
        <f>VLOOKUP($E45,'4.เขตปรับKและเกลี่ยเงินเพิ่มฯ'!$E$16:$AO$110,14,FALSE)</f>
        <v>63860513.140000001</v>
      </c>
      <c r="I45" s="151">
        <f>VLOOKUP($E45,'4.เขตปรับKและเกลี่ยเงินเพิ่มฯ'!$E$16:$AO$110,15,FALSE)</f>
        <v>12233692.189999999</v>
      </c>
      <c r="J45" s="151">
        <f>VLOOKUP($E45,'4.เขตปรับKและเกลี่ยเงินเพิ่มฯ'!$E$16:$AO$110,16,FALSE)+VLOOKUP($E45,'4.เขตปรับKและเกลี่ยเงินเพิ่มฯ'!$E$16:$AO$110,17,FALSE)+VLOOKUP($E45,'4.เขตปรับKและเกลี่ยเงินเพิ่มฯ'!$E$16:$AO$110,18,FALSE)+VLOOKUP($E45,'4.เขตปรับKและเกลี่ยเงินเพิ่มฯ'!$E$16:$AO$110,19,FALSE)</f>
        <v>21970077.779999997</v>
      </c>
      <c r="K45" s="151">
        <f>VLOOKUP($E45,'4.เขตปรับKและเกลี่ยเงินเพิ่มฯ'!$E$16:$X$110,20,FALSE)</f>
        <v>98064283.109999999</v>
      </c>
      <c r="L45" s="151">
        <f>VLOOKUP($E45,'4.เขตปรับKและเกลี่ยเงินเพิ่มฯ'!$E$16:$AO$110,21,FALSE)</f>
        <v>39941725</v>
      </c>
      <c r="M45" s="151">
        <f>VLOOKUP($E45,'4.เขตปรับKและเกลี่ยเงินเพิ่มฯ'!$E$16:$AO$110,22,FALSE)</f>
        <v>58122558.109999999</v>
      </c>
      <c r="N45" s="151">
        <f>VLOOKUP($E45,'4.เขตปรับKและเกลี่ยเงินเพิ่มฯ'!$E$16:$AA$110,23,FALSE)</f>
        <v>0</v>
      </c>
      <c r="O45" s="151">
        <f>VLOOKUP($E45,'4.เขตปรับKและเกลี่ยเงินเพิ่มฯ'!$E$16:$AB$110,24,FALSE)</f>
        <v>58122558.109999999</v>
      </c>
      <c r="P45" s="151">
        <f>VLOOKUP($E45,'4.เขตปรับKและเกลี่ยเงินเพิ่มฯ'!$E$16:$AM$110,35,FALSE)</f>
        <v>0</v>
      </c>
      <c r="Q45" s="151">
        <f t="shared" si="6"/>
        <v>58122558.109999999</v>
      </c>
      <c r="R45" s="151">
        <f>VLOOKUP($E45,'4.เขตปรับKและเกลี่ยเงินเพิ่มฯ'!$E$16:$AI$110,31,FALSE)</f>
        <v>0</v>
      </c>
      <c r="S45" s="151">
        <f>VLOOKUP($E45,'4.เขตปรับKและเกลี่ยเงินเพิ่มฯ'!$E$16:$AH$110,30,FALSE)</f>
        <v>55719960.659999996</v>
      </c>
    </row>
    <row r="46" spans="1:19" s="139" customFormat="1" ht="15" customHeight="1" outlineLevel="2">
      <c r="A46" s="82">
        <v>537</v>
      </c>
      <c r="B46" s="82" t="s">
        <v>26</v>
      </c>
      <c r="C46" s="140" t="s">
        <v>103</v>
      </c>
      <c r="D46" s="140" t="s">
        <v>104</v>
      </c>
      <c r="E46" s="140" t="s">
        <v>111</v>
      </c>
      <c r="F46" s="140" t="s">
        <v>112</v>
      </c>
      <c r="G46" s="151">
        <f>VLOOKUP($E46,'4.เขตปรับKและเกลี่ยเงินเพิ่มฯ'!$E$16:$I$110,5,FALSE)</f>
        <v>1.25</v>
      </c>
      <c r="H46" s="151">
        <f>VLOOKUP($E46,'4.เขตปรับKและเกลี่ยเงินเพิ่มฯ'!$E$16:$AO$110,14,FALSE)</f>
        <v>51244040.340000004</v>
      </c>
      <c r="I46" s="151">
        <f>VLOOKUP($E46,'4.เขตปรับKและเกลี่ยเงินเพิ่มฯ'!$E$16:$AO$110,15,FALSE)</f>
        <v>9816767.5999999996</v>
      </c>
      <c r="J46" s="151">
        <f>VLOOKUP($E46,'4.เขตปรับKและเกลี่ยเงินเพิ่มฯ'!$E$16:$AO$110,16,FALSE)+VLOOKUP($E46,'4.เขตปรับKและเกลี่ยเงินเพิ่มฯ'!$E$16:$AO$110,17,FALSE)+VLOOKUP($E46,'4.เขตปรับKและเกลี่ยเงินเพิ่มฯ'!$E$16:$AO$110,18,FALSE)+VLOOKUP($E46,'4.เขตปรับKและเกลี่ยเงินเพิ่มฯ'!$E$16:$AO$110,19,FALSE)</f>
        <v>21197195.789999999</v>
      </c>
      <c r="K46" s="151">
        <f>VLOOKUP($E46,'4.เขตปรับKและเกลี่ยเงินเพิ่มฯ'!$E$16:$X$110,20,FALSE)</f>
        <v>82258003.730000004</v>
      </c>
      <c r="L46" s="151">
        <f>VLOOKUP($E46,'4.เขตปรับKและเกลี่ยเงินเพิ่มฯ'!$E$16:$AO$110,21,FALSE)</f>
        <v>24005307</v>
      </c>
      <c r="M46" s="151">
        <f>VLOOKUP($E46,'4.เขตปรับKและเกลี่ยเงินเพิ่มฯ'!$E$16:$AO$110,22,FALSE)</f>
        <v>58252696.729999997</v>
      </c>
      <c r="N46" s="151">
        <f>VLOOKUP($E46,'4.เขตปรับKและเกลี่ยเงินเพิ่มฯ'!$E$16:$AA$110,23,FALSE)</f>
        <v>0</v>
      </c>
      <c r="O46" s="151">
        <f>VLOOKUP($E46,'4.เขตปรับKและเกลี่ยเงินเพิ่มฯ'!$E$16:$AB$110,24,FALSE)</f>
        <v>58252696.729999997</v>
      </c>
      <c r="P46" s="151">
        <f>VLOOKUP($E46,'4.เขตปรับKและเกลี่ยเงินเพิ่มฯ'!$E$16:$AM$110,35,FALSE)</f>
        <v>0</v>
      </c>
      <c r="Q46" s="151">
        <f t="shared" si="6"/>
        <v>58252696.729999997</v>
      </c>
      <c r="R46" s="151">
        <f>VLOOKUP($E46,'4.เขตปรับKและเกลี่ยเงินเพิ่มฯ'!$E$16:$AI$110,31,FALSE)</f>
        <v>0</v>
      </c>
      <c r="S46" s="151">
        <f>VLOOKUP($E46,'4.เขตปรับKและเกลี่ยเงินเพิ่มฯ'!$E$16:$AH$110,30,FALSE)</f>
        <v>45596438.340000004</v>
      </c>
    </row>
    <row r="47" spans="1:19" s="139" customFormat="1" ht="15" customHeight="1" outlineLevel="2">
      <c r="A47" s="82">
        <v>538</v>
      </c>
      <c r="B47" s="82" t="s">
        <v>26</v>
      </c>
      <c r="C47" s="140" t="s">
        <v>103</v>
      </c>
      <c r="D47" s="140" t="s">
        <v>104</v>
      </c>
      <c r="E47" s="140" t="s">
        <v>113</v>
      </c>
      <c r="F47" s="140" t="s">
        <v>114</v>
      </c>
      <c r="G47" s="151">
        <f>VLOOKUP($E47,'4.เขตปรับKและเกลี่ยเงินเพิ่มฯ'!$E$16:$I$110,5,FALSE)</f>
        <v>1.4</v>
      </c>
      <c r="H47" s="151">
        <f>VLOOKUP($E47,'4.เขตปรับKและเกลี่ยเงินเพิ่มฯ'!$E$16:$AO$110,14,FALSE)</f>
        <v>15628752.439999999</v>
      </c>
      <c r="I47" s="151">
        <f>VLOOKUP($E47,'4.เขตปรับKและเกลี่ยเงินเพิ่มฯ'!$E$16:$AO$110,15,FALSE)</f>
        <v>2993983.88</v>
      </c>
      <c r="J47" s="151">
        <f>VLOOKUP($E47,'4.เขตปรับKและเกลี่ยเงินเพิ่มฯ'!$E$16:$AO$110,16,FALSE)+VLOOKUP($E47,'4.เขตปรับKและเกลี่ยเงินเพิ่มฯ'!$E$16:$AO$110,17,FALSE)+VLOOKUP($E47,'4.เขตปรับKและเกลี่ยเงินเพิ่มฯ'!$E$16:$AO$110,18,FALSE)+VLOOKUP($E47,'4.เขตปรับKและเกลี่ยเงินเพิ่มฯ'!$E$16:$AO$110,19,FALSE)</f>
        <v>5877174.8500000006</v>
      </c>
      <c r="K47" s="151">
        <f>VLOOKUP($E47,'4.เขตปรับKและเกลี่ยเงินเพิ่มฯ'!$E$16:$X$110,20,FALSE)</f>
        <v>24499911.170000002</v>
      </c>
      <c r="L47" s="151">
        <f>VLOOKUP($E47,'4.เขตปรับKและเกลี่ยเงินเพิ่มฯ'!$E$16:$AO$110,21,FALSE)</f>
        <v>15856748</v>
      </c>
      <c r="M47" s="151">
        <f>VLOOKUP($E47,'4.เขตปรับKและเกลี่ยเงินเพิ่มฯ'!$E$16:$AO$110,22,FALSE)</f>
        <v>8643163.1699999999</v>
      </c>
      <c r="N47" s="151">
        <f>VLOOKUP($E47,'4.เขตปรับKและเกลี่ยเงินเพิ่มฯ'!$E$16:$AA$110,23,FALSE)</f>
        <v>11223437.66</v>
      </c>
      <c r="O47" s="151">
        <f>VLOOKUP($E47,'4.เขตปรับKและเกลี่ยเงินเพิ่มฯ'!$E$16:$AB$110,24,FALSE)</f>
        <v>19866600.829999998</v>
      </c>
      <c r="P47" s="151">
        <f>VLOOKUP($E47,'4.เขตปรับKและเกลี่ยเงินเพิ่มฯ'!$E$16:$AM$110,35,FALSE)</f>
        <v>0</v>
      </c>
      <c r="Q47" s="151">
        <f t="shared" si="6"/>
        <v>19866600.829999998</v>
      </c>
      <c r="R47" s="151">
        <f>VLOOKUP($E47,'4.เขตปรับKและเกลี่ยเงินเพิ่มฯ'!$E$16:$AI$110,31,FALSE)</f>
        <v>0</v>
      </c>
      <c r="S47" s="151">
        <f>VLOOKUP($E47,'4.เขตปรับKและเกลี่ยเงินเพิ่มฯ'!$E$16:$AH$110,30,FALSE)</f>
        <v>19866600.829999998</v>
      </c>
    </row>
    <row r="48" spans="1:19" s="139" customFormat="1" ht="15" customHeight="1" outlineLevel="2">
      <c r="A48" s="82">
        <v>539</v>
      </c>
      <c r="B48" s="82" t="s">
        <v>26</v>
      </c>
      <c r="C48" s="140" t="s">
        <v>103</v>
      </c>
      <c r="D48" s="140" t="s">
        <v>104</v>
      </c>
      <c r="E48" s="140" t="s">
        <v>115</v>
      </c>
      <c r="F48" s="140" t="s">
        <v>116</v>
      </c>
      <c r="G48" s="151">
        <f>VLOOKUP($E48,'4.เขตปรับKและเกลี่ยเงินเพิ่มฯ'!$E$16:$I$110,5,FALSE)</f>
        <v>1.35</v>
      </c>
      <c r="H48" s="151">
        <f>VLOOKUP($E48,'4.เขตปรับKและเกลี่ยเงินเพิ่มฯ'!$E$16:$AO$110,14,FALSE)</f>
        <v>29584447.260000002</v>
      </c>
      <c r="I48" s="151">
        <f>VLOOKUP($E48,'4.เขตปรับKและเกลี่ยเงินเพิ่มฯ'!$E$16:$AO$110,15,FALSE)</f>
        <v>5667461.8399999999</v>
      </c>
      <c r="J48" s="151">
        <f>VLOOKUP($E48,'4.เขตปรับKและเกลี่ยเงินเพิ่มฯ'!$E$16:$AO$110,16,FALSE)+VLOOKUP($E48,'4.เขตปรับKและเกลี่ยเงินเพิ่มฯ'!$E$16:$AO$110,17,FALSE)+VLOOKUP($E48,'4.เขตปรับKและเกลี่ยเงินเพิ่มฯ'!$E$16:$AO$110,18,FALSE)+VLOOKUP($E48,'4.เขตปรับKและเกลี่ยเงินเพิ่มฯ'!$E$16:$AO$110,19,FALSE)</f>
        <v>9717283.4700000007</v>
      </c>
      <c r="K48" s="151">
        <f>VLOOKUP($E48,'4.เขตปรับKและเกลี่ยเงินเพิ่มฯ'!$E$16:$X$110,20,FALSE)</f>
        <v>44969192.57</v>
      </c>
      <c r="L48" s="151">
        <f>VLOOKUP($E48,'4.เขตปรับKและเกลี่ยเงินเพิ่มฯ'!$E$16:$AO$110,21,FALSE)</f>
        <v>21766616</v>
      </c>
      <c r="M48" s="151">
        <f>VLOOKUP($E48,'4.เขตปรับKและเกลี่ยเงินเพิ่มฯ'!$E$16:$AO$110,22,FALSE)</f>
        <v>23202576.57</v>
      </c>
      <c r="N48" s="151">
        <f>VLOOKUP($E48,'4.เขตปรับKและเกลี่ยเงินเพิ่มฯ'!$E$16:$AA$110,23,FALSE)</f>
        <v>0</v>
      </c>
      <c r="O48" s="151">
        <f>VLOOKUP($E48,'4.เขตปรับKและเกลี่ยเงินเพิ่มฯ'!$E$16:$AB$110,24,FALSE)</f>
        <v>23202576.57</v>
      </c>
      <c r="P48" s="151">
        <f>VLOOKUP($E48,'4.เขตปรับKและเกลี่ยเงินเพิ่มฯ'!$E$16:$AM$110,35,FALSE)</f>
        <v>0</v>
      </c>
      <c r="Q48" s="151">
        <f t="shared" si="6"/>
        <v>23202576.57</v>
      </c>
      <c r="R48" s="151">
        <f>VLOOKUP($E48,'4.เขตปรับKและเกลี่ยเงินเพิ่มฯ'!$E$16:$AI$110,31,FALSE)</f>
        <v>0</v>
      </c>
      <c r="S48" s="151">
        <f>VLOOKUP($E48,'4.เขตปรับKและเกลี่ยเงินเพิ่มฯ'!$E$16:$AH$110,30,FALSE)</f>
        <v>21252104.649999999</v>
      </c>
    </row>
    <row r="49" spans="1:19" s="139" customFormat="1" ht="15" customHeight="1" outlineLevel="2">
      <c r="A49" s="82">
        <v>540</v>
      </c>
      <c r="B49" s="82" t="s">
        <v>26</v>
      </c>
      <c r="C49" s="140" t="s">
        <v>103</v>
      </c>
      <c r="D49" s="140" t="s">
        <v>104</v>
      </c>
      <c r="E49" s="140" t="s">
        <v>117</v>
      </c>
      <c r="F49" s="140" t="s">
        <v>118</v>
      </c>
      <c r="G49" s="151">
        <f>VLOOKUP($E49,'4.เขตปรับKและเกลี่ยเงินเพิ่มฯ'!$E$16:$I$110,5,FALSE)</f>
        <v>1.3</v>
      </c>
      <c r="H49" s="151">
        <f>VLOOKUP($E49,'4.เขตปรับKและเกลี่ยเงินเพิ่มฯ'!$E$16:$AO$110,14,FALSE)</f>
        <v>33762103.170000002</v>
      </c>
      <c r="I49" s="151">
        <f>VLOOKUP($E49,'4.เขตปรับKและเกลี่ยเงินเพิ่มฯ'!$E$16:$AO$110,15,FALSE)</f>
        <v>6467771.0499999998</v>
      </c>
      <c r="J49" s="151">
        <f>VLOOKUP($E49,'4.เขตปรับKและเกลี่ยเงินเพิ่มฯ'!$E$16:$AO$110,16,FALSE)+VLOOKUP($E49,'4.เขตปรับKและเกลี่ยเงินเพิ่มฯ'!$E$16:$AO$110,17,FALSE)+VLOOKUP($E49,'4.เขตปรับKและเกลี่ยเงินเพิ่มฯ'!$E$16:$AO$110,18,FALSE)+VLOOKUP($E49,'4.เขตปรับKและเกลี่ยเงินเพิ่มฯ'!$E$16:$AO$110,19,FALSE)</f>
        <v>13456851.449999999</v>
      </c>
      <c r="K49" s="151">
        <f>VLOOKUP($E49,'4.เขตปรับKและเกลี่ยเงินเพิ่มฯ'!$E$16:$X$110,20,FALSE)</f>
        <v>53686725.669999994</v>
      </c>
      <c r="L49" s="151">
        <f>VLOOKUP($E49,'4.เขตปรับKและเกลี่ยเงินเพิ่มฯ'!$E$16:$AO$110,21,FALSE)</f>
        <v>26585797</v>
      </c>
      <c r="M49" s="151">
        <f>VLOOKUP($E49,'4.เขตปรับKและเกลี่ยเงินเพิ่มฯ'!$E$16:$AO$110,22,FALSE)</f>
        <v>27100928.670000002</v>
      </c>
      <c r="N49" s="151">
        <f>VLOOKUP($E49,'4.เขตปรับKและเกลี่ยเงินเพิ่มฯ'!$E$16:$AA$110,23,FALSE)</f>
        <v>268669.2</v>
      </c>
      <c r="O49" s="151">
        <f>VLOOKUP($E49,'4.เขตปรับKและเกลี่ยเงินเพิ่มฯ'!$E$16:$AB$110,24,FALSE)</f>
        <v>27369597.870000001</v>
      </c>
      <c r="P49" s="151">
        <f>VLOOKUP($E49,'4.เขตปรับKและเกลี่ยเงินเพิ่มฯ'!$E$16:$AM$110,35,FALSE)</f>
        <v>0</v>
      </c>
      <c r="Q49" s="151">
        <f t="shared" si="6"/>
        <v>27369597.870000001</v>
      </c>
      <c r="R49" s="151">
        <f>VLOOKUP($E49,'4.เขตปรับKและเกลี่ยเงินเพิ่มฯ'!$E$16:$AI$110,31,FALSE)</f>
        <v>0</v>
      </c>
      <c r="S49" s="151">
        <f>VLOOKUP($E49,'4.เขตปรับKและเกลี่ยเงินเพิ่มฯ'!$E$16:$AH$110,30,FALSE)</f>
        <v>27369597.870000001</v>
      </c>
    </row>
    <row r="50" spans="1:19" s="139" customFormat="1" ht="15" customHeight="1" outlineLevel="2">
      <c r="A50" s="82">
        <v>541</v>
      </c>
      <c r="B50" s="82" t="s">
        <v>26</v>
      </c>
      <c r="C50" s="140" t="s">
        <v>103</v>
      </c>
      <c r="D50" s="140" t="s">
        <v>104</v>
      </c>
      <c r="E50" s="140" t="s">
        <v>119</v>
      </c>
      <c r="F50" s="140" t="s">
        <v>120</v>
      </c>
      <c r="G50" s="151">
        <f>VLOOKUP($E50,'4.เขตปรับKและเกลี่ยเงินเพิ่มฯ'!$E$16:$I$110,5,FALSE)</f>
        <v>1.1000000000000001</v>
      </c>
      <c r="H50" s="151">
        <f>VLOOKUP($E50,'4.เขตปรับKและเกลี่ยเงินเพิ่มฯ'!$E$16:$AO$110,14,FALSE)</f>
        <v>99155959.939999998</v>
      </c>
      <c r="I50" s="151">
        <f>VLOOKUP($E50,'4.เขตปรับKและเกลี่ยเงินเพิ่มฯ'!$E$16:$AO$110,15,FALSE)</f>
        <v>18995204.289999999</v>
      </c>
      <c r="J50" s="151">
        <f>VLOOKUP($E50,'4.เขตปรับKและเกลี่ยเงินเพิ่มฯ'!$E$16:$AO$110,16,FALSE)+VLOOKUP($E50,'4.เขตปรับKและเกลี่ยเงินเพิ่มฯ'!$E$16:$AO$110,17,FALSE)+VLOOKUP($E50,'4.เขตปรับKและเกลี่ยเงินเพิ่มฯ'!$E$16:$AO$110,18,FALSE)+VLOOKUP($E50,'4.เขตปรับKและเกลี่ยเงินเพิ่มฯ'!$E$16:$AO$110,19,FALSE)</f>
        <v>43284704.550000004</v>
      </c>
      <c r="K50" s="151">
        <f>VLOOKUP($E50,'4.เขตปรับKและเกลี่ยเงินเพิ่มฯ'!$E$16:$X$110,20,FALSE)</f>
        <v>161435868.78</v>
      </c>
      <c r="L50" s="151">
        <f>VLOOKUP($E50,'4.เขตปรับKและเกลี่ยเงินเพิ่มฯ'!$E$16:$AO$110,21,FALSE)</f>
        <v>84448457</v>
      </c>
      <c r="M50" s="151">
        <f>VLOOKUP($E50,'4.เขตปรับKและเกลี่ยเงินเพิ่มฯ'!$E$16:$AO$110,22,FALSE)</f>
        <v>76987411.780000001</v>
      </c>
      <c r="N50" s="151">
        <f>VLOOKUP($E50,'4.เขตปรับKและเกลี่ยเงินเพิ่มฯ'!$E$16:$AA$110,23,FALSE)</f>
        <v>0</v>
      </c>
      <c r="O50" s="151">
        <f>VLOOKUP($E50,'4.เขตปรับKและเกลี่ยเงินเพิ่มฯ'!$E$16:$AB$110,24,FALSE)</f>
        <v>76987411.780000001</v>
      </c>
      <c r="P50" s="151">
        <f>VLOOKUP($E50,'4.เขตปรับKและเกลี่ยเงินเพิ่มฯ'!$E$16:$AM$110,35,FALSE)</f>
        <v>0</v>
      </c>
      <c r="Q50" s="151">
        <f t="shared" si="6"/>
        <v>76987411.780000001</v>
      </c>
      <c r="R50" s="151">
        <f>VLOOKUP($E50,'4.เขตปรับKและเกลี่ยเงินเพิ่มฯ'!$E$16:$AI$110,31,FALSE)</f>
        <v>0</v>
      </c>
      <c r="S50" s="151">
        <f>VLOOKUP($E50,'4.เขตปรับKและเกลี่ยเงินเพิ่มฯ'!$E$16:$AH$110,30,FALSE)</f>
        <v>72460080.909999996</v>
      </c>
    </row>
    <row r="51" spans="1:19" s="139" customFormat="1" ht="15" customHeight="1" outlineLevel="2">
      <c r="A51" s="82">
        <v>542</v>
      </c>
      <c r="B51" s="82" t="s">
        <v>26</v>
      </c>
      <c r="C51" s="140" t="s">
        <v>103</v>
      </c>
      <c r="D51" s="140" t="s">
        <v>104</v>
      </c>
      <c r="E51" s="140" t="s">
        <v>121</v>
      </c>
      <c r="F51" s="140" t="s">
        <v>122</v>
      </c>
      <c r="G51" s="151">
        <f>VLOOKUP($E51,'4.เขตปรับKและเกลี่ยเงินเพิ่มฯ'!$E$16:$I$110,5,FALSE)</f>
        <v>1.3</v>
      </c>
      <c r="H51" s="151">
        <f>VLOOKUP($E51,'4.เขตปรับKและเกลี่ยเงินเพิ่มฯ'!$E$16:$AO$110,14,FALSE)</f>
        <v>41240796.340000004</v>
      </c>
      <c r="I51" s="151">
        <f>VLOOKUP($E51,'4.เขตปรับKและเกลี่ยเงินเพิ่มฯ'!$E$16:$AO$110,15,FALSE)</f>
        <v>7900456.5300000003</v>
      </c>
      <c r="J51" s="151">
        <f>VLOOKUP($E51,'4.เขตปรับKและเกลี่ยเงินเพิ่มฯ'!$E$16:$AO$110,16,FALSE)+VLOOKUP($E51,'4.เขตปรับKและเกลี่ยเงินเพิ่มฯ'!$E$16:$AO$110,17,FALSE)+VLOOKUP($E51,'4.เขตปรับKและเกลี่ยเงินเพิ่มฯ'!$E$16:$AO$110,18,FALSE)+VLOOKUP($E51,'4.เขตปรับKและเกลี่ยเงินเพิ่มฯ'!$E$16:$AO$110,19,FALSE)</f>
        <v>14400422.23</v>
      </c>
      <c r="K51" s="151">
        <f>VLOOKUP($E51,'4.เขตปรับKและเกลี่ยเงินเพิ่มฯ'!$E$16:$X$110,20,FALSE)</f>
        <v>63541675.100000001</v>
      </c>
      <c r="L51" s="151">
        <f>VLOOKUP($E51,'4.เขตปรับKและเกลี่ยเงินเพิ่มฯ'!$E$16:$AO$110,21,FALSE)</f>
        <v>27563045</v>
      </c>
      <c r="M51" s="151">
        <f>VLOOKUP($E51,'4.เขตปรับKและเกลี่ยเงินเพิ่มฯ'!$E$16:$AO$110,22,FALSE)</f>
        <v>35978630.100000001</v>
      </c>
      <c r="N51" s="151">
        <f>VLOOKUP($E51,'4.เขตปรับKและเกลี่ยเงินเพิ่มฯ'!$E$16:$AA$110,23,FALSE)</f>
        <v>0</v>
      </c>
      <c r="O51" s="151">
        <f>VLOOKUP($E51,'4.เขตปรับKและเกลี่ยเงินเพิ่มฯ'!$E$16:$AB$110,24,FALSE)</f>
        <v>35978630.100000001</v>
      </c>
      <c r="P51" s="151">
        <f>VLOOKUP($E51,'4.เขตปรับKและเกลี่ยเงินเพิ่มฯ'!$E$16:$AM$110,35,FALSE)</f>
        <v>0</v>
      </c>
      <c r="Q51" s="151">
        <f t="shared" si="6"/>
        <v>35978630.100000001</v>
      </c>
      <c r="R51" s="151">
        <f>VLOOKUP($E51,'4.เขตปรับKและเกลี่ยเงินเพิ่มฯ'!$E$16:$AI$110,31,FALSE)</f>
        <v>0</v>
      </c>
      <c r="S51" s="151">
        <f>VLOOKUP($E51,'4.เขตปรับKและเกลี่ยเงินเพิ่มฯ'!$E$16:$AH$110,30,FALSE)</f>
        <v>29360325</v>
      </c>
    </row>
    <row r="52" spans="1:19" s="139" customFormat="1" ht="15" customHeight="1" outlineLevel="2">
      <c r="A52" s="82">
        <v>543</v>
      </c>
      <c r="B52" s="82" t="s">
        <v>26</v>
      </c>
      <c r="C52" s="140" t="s">
        <v>103</v>
      </c>
      <c r="D52" s="140" t="s">
        <v>104</v>
      </c>
      <c r="E52" s="140" t="s">
        <v>123</v>
      </c>
      <c r="F52" s="140" t="s">
        <v>124</v>
      </c>
      <c r="G52" s="151">
        <f>VLOOKUP($E52,'4.เขตปรับKและเกลี่ยเงินเพิ่มฯ'!$E$16:$I$110,5,FALSE)</f>
        <v>1.3</v>
      </c>
      <c r="H52" s="151">
        <f>VLOOKUP($E52,'4.เขตปรับKและเกลี่ยเงินเพิ่มฯ'!$E$16:$AO$110,14,FALSE)</f>
        <v>32759857.41</v>
      </c>
      <c r="I52" s="151">
        <f>VLOOKUP($E52,'4.เขตปรับKและเกลี่ยเงินเพิ่มฯ'!$E$16:$AO$110,15,FALSE)</f>
        <v>6275771.8700000001</v>
      </c>
      <c r="J52" s="151">
        <f>VLOOKUP($E52,'4.เขตปรับKและเกลี่ยเงินเพิ่มฯ'!$E$16:$AO$110,16,FALSE)+VLOOKUP($E52,'4.เขตปรับKและเกลี่ยเงินเพิ่มฯ'!$E$16:$AO$110,17,FALSE)+VLOOKUP($E52,'4.เขตปรับKและเกลี่ยเงินเพิ่มฯ'!$E$16:$AO$110,18,FALSE)+VLOOKUP($E52,'4.เขตปรับKและเกลี่ยเงินเพิ่มฯ'!$E$16:$AO$110,19,FALSE)</f>
        <v>14839952.08</v>
      </c>
      <c r="K52" s="151">
        <f>VLOOKUP($E52,'4.เขตปรับKและเกลี่ยเงินเพิ่มฯ'!$E$16:$X$110,20,FALSE)</f>
        <v>53875581.359999999</v>
      </c>
      <c r="L52" s="151">
        <f>VLOOKUP($E52,'4.เขตปรับKและเกลี่ยเงินเพิ่มฯ'!$E$16:$AO$110,21,FALSE)</f>
        <v>21960312</v>
      </c>
      <c r="M52" s="151">
        <f>VLOOKUP($E52,'4.เขตปรับKและเกลี่ยเงินเพิ่มฯ'!$E$16:$AO$110,22,FALSE)</f>
        <v>31915269.359999999</v>
      </c>
      <c r="N52" s="151">
        <f>VLOOKUP($E52,'4.เขตปรับKและเกลี่ยเงินเพิ่มฯ'!$E$16:$AA$110,23,FALSE)</f>
        <v>0</v>
      </c>
      <c r="O52" s="151">
        <f>VLOOKUP($E52,'4.เขตปรับKและเกลี่ยเงินเพิ่มฯ'!$E$16:$AB$110,24,FALSE)</f>
        <v>31915269.359999999</v>
      </c>
      <c r="P52" s="151">
        <f>VLOOKUP($E52,'4.เขตปรับKและเกลี่ยเงินเพิ่มฯ'!$E$16:$AM$110,35,FALSE)</f>
        <v>0</v>
      </c>
      <c r="Q52" s="151">
        <f t="shared" si="6"/>
        <v>31915269.359999999</v>
      </c>
      <c r="R52" s="151">
        <f>VLOOKUP($E52,'4.เขตปรับKและเกลี่ยเงินเพิ่มฯ'!$E$16:$AI$110,31,FALSE)</f>
        <v>0</v>
      </c>
      <c r="S52" s="151">
        <f>VLOOKUP($E52,'4.เขตปรับKและเกลี่ยเงินเพิ่มฯ'!$E$16:$AH$110,30,FALSE)</f>
        <v>27734421.43</v>
      </c>
    </row>
    <row r="53" spans="1:19" s="139" customFormat="1" ht="15" customHeight="1" outlineLevel="2">
      <c r="A53" s="82">
        <v>544</v>
      </c>
      <c r="B53" s="82" t="s">
        <v>26</v>
      </c>
      <c r="C53" s="140" t="s">
        <v>103</v>
      </c>
      <c r="D53" s="140" t="s">
        <v>104</v>
      </c>
      <c r="E53" s="140" t="s">
        <v>125</v>
      </c>
      <c r="F53" s="140" t="s">
        <v>126</v>
      </c>
      <c r="G53" s="151">
        <f>VLOOKUP($E53,'4.เขตปรับKและเกลี่ยเงินเพิ่มฯ'!$E$16:$I$110,5,FALSE)</f>
        <v>1.25</v>
      </c>
      <c r="H53" s="151">
        <f>VLOOKUP($E53,'4.เขตปรับKและเกลี่ยเงินเพิ่มฯ'!$E$16:$AO$110,14,FALSE)</f>
        <v>47702464.090000004</v>
      </c>
      <c r="I53" s="151">
        <f>VLOOKUP($E53,'4.เขตปรับKและเกลี่ยเงินเพิ่มฯ'!$E$16:$AO$110,15,FALSE)</f>
        <v>9138311.5099999998</v>
      </c>
      <c r="J53" s="151">
        <f>VLOOKUP($E53,'4.เขตปรับKและเกลี่ยเงินเพิ่มฯ'!$E$16:$AO$110,16,FALSE)+VLOOKUP($E53,'4.เขตปรับKและเกลี่ยเงินเพิ่มฯ'!$E$16:$AO$110,17,FALSE)+VLOOKUP($E53,'4.เขตปรับKและเกลี่ยเงินเพิ่มฯ'!$E$16:$AO$110,18,FALSE)+VLOOKUP($E53,'4.เขตปรับKและเกลี่ยเงินเพิ่มฯ'!$E$16:$AO$110,19,FALSE)</f>
        <v>17404028.190000001</v>
      </c>
      <c r="K53" s="151">
        <f>VLOOKUP($E53,'4.เขตปรับKและเกลี่ยเงินเพิ่มฯ'!$E$16:$X$110,20,FALSE)</f>
        <v>74244803.790000007</v>
      </c>
      <c r="L53" s="151">
        <f>VLOOKUP($E53,'4.เขตปรับKและเกลี่ยเงินเพิ่มฯ'!$E$16:$AO$110,21,FALSE)</f>
        <v>24685842</v>
      </c>
      <c r="M53" s="151">
        <f>VLOOKUP($E53,'4.เขตปรับKและเกลี่ยเงินเพิ่มฯ'!$E$16:$AO$110,22,FALSE)</f>
        <v>49558961.789999999</v>
      </c>
      <c r="N53" s="151">
        <f>VLOOKUP($E53,'4.เขตปรับKและเกลี่ยเงินเพิ่มฯ'!$E$16:$AA$110,23,FALSE)</f>
        <v>0</v>
      </c>
      <c r="O53" s="151">
        <f>VLOOKUP($E53,'4.เขตปรับKและเกลี่ยเงินเพิ่มฯ'!$E$16:$AB$110,24,FALSE)</f>
        <v>49558961.789999999</v>
      </c>
      <c r="P53" s="151">
        <f>VLOOKUP($E53,'4.เขตปรับKและเกลี่ยเงินเพิ่มฯ'!$E$16:$AM$110,35,FALSE)</f>
        <v>0</v>
      </c>
      <c r="Q53" s="151">
        <f t="shared" si="6"/>
        <v>49558961.789999999</v>
      </c>
      <c r="R53" s="151">
        <f>VLOOKUP($E53,'4.เขตปรับKและเกลี่ยเงินเพิ่มฯ'!$E$16:$AI$110,31,FALSE)</f>
        <v>0</v>
      </c>
      <c r="S53" s="151">
        <f>VLOOKUP($E53,'4.เขตปรับKและเกลี่ยเงินเพิ่มฯ'!$E$16:$AH$110,30,FALSE)</f>
        <v>43678054.170000002</v>
      </c>
    </row>
    <row r="54" spans="1:19" s="139" customFormat="1" ht="15" customHeight="1" outlineLevel="2">
      <c r="A54" s="82">
        <v>545</v>
      </c>
      <c r="B54" s="82" t="s">
        <v>26</v>
      </c>
      <c r="C54" s="140" t="s">
        <v>103</v>
      </c>
      <c r="D54" s="140" t="s">
        <v>104</v>
      </c>
      <c r="E54" s="140" t="s">
        <v>127</v>
      </c>
      <c r="F54" s="140" t="s">
        <v>128</v>
      </c>
      <c r="G54" s="151">
        <f>VLOOKUP($E54,'4.เขตปรับKและเกลี่ยเงินเพิ่มฯ'!$E$16:$I$110,5,FALSE)</f>
        <v>1.2</v>
      </c>
      <c r="H54" s="151">
        <f>VLOOKUP($E54,'4.เขตปรับKและเกลี่ยเงินเพิ่มฯ'!$E$16:$AO$110,14,FALSE)</f>
        <v>58497528.420000002</v>
      </c>
      <c r="I54" s="151">
        <f>VLOOKUP($E54,'4.เขตปรับKและเกลี่ยเงินเพิ่มฯ'!$E$16:$AO$110,15,FALSE)</f>
        <v>11206310.779999999</v>
      </c>
      <c r="J54" s="151">
        <f>VLOOKUP($E54,'4.เขตปรับKและเกลี่ยเงินเพิ่มฯ'!$E$16:$AO$110,16,FALSE)+VLOOKUP($E54,'4.เขตปรับKและเกลี่ยเงินเพิ่มฯ'!$E$16:$AO$110,17,FALSE)+VLOOKUP($E54,'4.เขตปรับKและเกลี่ยเงินเพิ่มฯ'!$E$16:$AO$110,18,FALSE)+VLOOKUP($E54,'4.เขตปรับKและเกลี่ยเงินเพิ่มฯ'!$E$16:$AO$110,19,FALSE)</f>
        <v>22101000.029999997</v>
      </c>
      <c r="K54" s="151">
        <f>VLOOKUP($E54,'4.เขตปรับKและเกลี่ยเงินเพิ่มฯ'!$E$16:$X$110,20,FALSE)</f>
        <v>91804839.229999989</v>
      </c>
      <c r="L54" s="151">
        <f>VLOOKUP($E54,'4.เขตปรับKและเกลี่ยเงินเพิ่มฯ'!$E$16:$AO$110,21,FALSE)</f>
        <v>42781391</v>
      </c>
      <c r="M54" s="151">
        <f>VLOOKUP($E54,'4.เขตปรับKและเกลี่ยเงินเพิ่มฯ'!$E$16:$AO$110,22,FALSE)</f>
        <v>49023448.229999997</v>
      </c>
      <c r="N54" s="151">
        <f>VLOOKUP($E54,'4.เขตปรับKและเกลี่ยเงินเพิ่มฯ'!$E$16:$AA$110,23,FALSE)</f>
        <v>0</v>
      </c>
      <c r="O54" s="151">
        <f>VLOOKUP($E54,'4.เขตปรับKและเกลี่ยเงินเพิ่มฯ'!$E$16:$AB$110,24,FALSE)</f>
        <v>49023448.229999997</v>
      </c>
      <c r="P54" s="151">
        <f>VLOOKUP($E54,'4.เขตปรับKและเกลี่ยเงินเพิ่มฯ'!$E$16:$AM$110,35,FALSE)</f>
        <v>0</v>
      </c>
      <c r="Q54" s="151">
        <f t="shared" si="6"/>
        <v>49023448.229999997</v>
      </c>
      <c r="R54" s="151">
        <f>VLOOKUP($E54,'4.เขตปรับKและเกลี่ยเงินเพิ่มฯ'!$E$16:$AI$110,31,FALSE)</f>
        <v>0</v>
      </c>
      <c r="S54" s="151">
        <f>VLOOKUP($E54,'4.เขตปรับKและเกลี่ยเงินเพิ่มฯ'!$E$16:$AH$110,30,FALSE)</f>
        <v>45297341.57</v>
      </c>
    </row>
    <row r="55" spans="1:19" s="139" customFormat="1" ht="15" customHeight="1" outlineLevel="2">
      <c r="A55" s="82">
        <v>546</v>
      </c>
      <c r="B55" s="82" t="s">
        <v>26</v>
      </c>
      <c r="C55" s="140" t="s">
        <v>103</v>
      </c>
      <c r="D55" s="140" t="s">
        <v>104</v>
      </c>
      <c r="E55" s="140" t="s">
        <v>129</v>
      </c>
      <c r="F55" s="140" t="s">
        <v>130</v>
      </c>
      <c r="G55" s="151">
        <f>VLOOKUP($E55,'4.เขตปรับKและเกลี่ยเงินเพิ่มฯ'!$E$16:$I$110,5,FALSE)</f>
        <v>1.25</v>
      </c>
      <c r="H55" s="151">
        <f>VLOOKUP($E55,'4.เขตปรับKและเกลี่ยเงินเพิ่มฯ'!$E$16:$AO$110,14,FALSE)</f>
        <v>46678233.590000004</v>
      </c>
      <c r="I55" s="151">
        <f>VLOOKUP($E55,'4.เขตปรับKและเกลี่ยเงินเพิ่มฯ'!$E$16:$AO$110,15,FALSE)</f>
        <v>8942100.7400000002</v>
      </c>
      <c r="J55" s="151">
        <f>VLOOKUP($E55,'4.เขตปรับKและเกลี่ยเงินเพิ่มฯ'!$E$16:$AO$110,16,FALSE)+VLOOKUP($E55,'4.เขตปรับKและเกลี่ยเงินเพิ่มฯ'!$E$16:$AO$110,17,FALSE)+VLOOKUP($E55,'4.เขตปรับKและเกลี่ยเงินเพิ่มฯ'!$E$16:$AO$110,18,FALSE)+VLOOKUP($E55,'4.เขตปรับKและเกลี่ยเงินเพิ่มฯ'!$E$16:$AO$110,19,FALSE)</f>
        <v>17198091.800000001</v>
      </c>
      <c r="K55" s="151">
        <f>VLOOKUP($E55,'4.เขตปรับKและเกลี่ยเงินเพิ่มฯ'!$E$16:$X$110,20,FALSE)</f>
        <v>72818426.129999995</v>
      </c>
      <c r="L55" s="151">
        <f>VLOOKUP($E55,'4.เขตปรับKและเกลี่ยเงินเพิ่มฯ'!$E$16:$AO$110,21,FALSE)</f>
        <v>24819708</v>
      </c>
      <c r="M55" s="151">
        <f>VLOOKUP($E55,'4.เขตปรับKและเกลี่ยเงินเพิ่มฯ'!$E$16:$AO$110,22,FALSE)</f>
        <v>47998718.130000003</v>
      </c>
      <c r="N55" s="151">
        <f>VLOOKUP($E55,'4.เขตปรับKและเกลี่ยเงินเพิ่มฯ'!$E$16:$AA$110,23,FALSE)</f>
        <v>0</v>
      </c>
      <c r="O55" s="151">
        <f>VLOOKUP($E55,'4.เขตปรับKและเกลี่ยเงินเพิ่มฯ'!$E$16:$AB$110,24,FALSE)</f>
        <v>47998718.130000003</v>
      </c>
      <c r="P55" s="151">
        <f>VLOOKUP($E55,'4.เขตปรับKและเกลี่ยเงินเพิ่มฯ'!$E$16:$AM$110,35,FALSE)</f>
        <v>0</v>
      </c>
      <c r="Q55" s="151">
        <f t="shared" si="6"/>
        <v>47998718.130000003</v>
      </c>
      <c r="R55" s="151">
        <f>VLOOKUP($E55,'4.เขตปรับKและเกลี่ยเงินเพิ่มฯ'!$E$16:$AI$110,31,FALSE)</f>
        <v>0</v>
      </c>
      <c r="S55" s="151">
        <f>VLOOKUP($E55,'4.เขตปรับKและเกลี่ยเงินเพิ่มฯ'!$E$16:$AH$110,30,FALSE)</f>
        <v>40874982.520000003</v>
      </c>
    </row>
    <row r="56" spans="1:19" s="139" customFormat="1" ht="15" customHeight="1" outlineLevel="2">
      <c r="A56" s="82">
        <v>547</v>
      </c>
      <c r="B56" s="82" t="s">
        <v>26</v>
      </c>
      <c r="C56" s="140" t="s">
        <v>103</v>
      </c>
      <c r="D56" s="140" t="s">
        <v>104</v>
      </c>
      <c r="E56" s="140" t="s">
        <v>131</v>
      </c>
      <c r="F56" s="140" t="s">
        <v>132</v>
      </c>
      <c r="G56" s="151">
        <f>VLOOKUP($E56,'4.เขตปรับKและเกลี่ยเงินเพิ่มฯ'!$E$16:$I$110,5,FALSE)</f>
        <v>1.35</v>
      </c>
      <c r="H56" s="151">
        <f>VLOOKUP($E56,'4.เขตปรับKและเกลี่ยเงินเพิ่มฯ'!$E$16:$AO$110,14,FALSE)</f>
        <v>32166454.030000001</v>
      </c>
      <c r="I56" s="151">
        <f>VLOOKUP($E56,'4.เขตปรับKและเกลี่ยเงินเพิ่มฯ'!$E$16:$AO$110,15,FALSE)</f>
        <v>6162094.2000000002</v>
      </c>
      <c r="J56" s="151">
        <f>VLOOKUP($E56,'4.เขตปรับKและเกลี่ยเงินเพิ่มฯ'!$E$16:$AO$110,16,FALSE)+VLOOKUP($E56,'4.เขตปรับKและเกลี่ยเงินเพิ่มฯ'!$E$16:$AO$110,17,FALSE)+VLOOKUP($E56,'4.เขตปรับKและเกลี่ยเงินเพิ่มฯ'!$E$16:$AO$110,18,FALSE)+VLOOKUP($E56,'4.เขตปรับKและเกลี่ยเงินเพิ่มฯ'!$E$16:$AO$110,19,FALSE)</f>
        <v>10162952.389999999</v>
      </c>
      <c r="K56" s="151">
        <f>VLOOKUP($E56,'4.เขตปรับKและเกลี่ยเงินเพิ่มฯ'!$E$16:$X$110,20,FALSE)</f>
        <v>48491500.619999997</v>
      </c>
      <c r="L56" s="151">
        <f>VLOOKUP($E56,'4.เขตปรับKและเกลี่ยเงินเพิ่มฯ'!$E$16:$AO$110,21,FALSE)</f>
        <v>20878830</v>
      </c>
      <c r="M56" s="151">
        <f>VLOOKUP($E56,'4.เขตปรับKและเกลี่ยเงินเพิ่มฯ'!$E$16:$AO$110,22,FALSE)</f>
        <v>27612670.620000001</v>
      </c>
      <c r="N56" s="151">
        <f>VLOOKUP($E56,'4.เขตปรับKและเกลี่ยเงินเพิ่มฯ'!$E$16:$AA$110,23,FALSE)</f>
        <v>0</v>
      </c>
      <c r="O56" s="151">
        <f>VLOOKUP($E56,'4.เขตปรับKและเกลี่ยเงินเพิ่มฯ'!$E$16:$AB$110,24,FALSE)</f>
        <v>27612670.620000001</v>
      </c>
      <c r="P56" s="151">
        <f>VLOOKUP($E56,'4.เขตปรับKและเกลี่ยเงินเพิ่มฯ'!$E$16:$AM$110,35,FALSE)</f>
        <v>0</v>
      </c>
      <c r="Q56" s="151">
        <f t="shared" si="6"/>
        <v>27612670.620000001</v>
      </c>
      <c r="R56" s="151">
        <f>VLOOKUP($E56,'4.เขตปรับKและเกลี่ยเงินเพิ่มฯ'!$E$16:$AI$110,31,FALSE)</f>
        <v>0</v>
      </c>
      <c r="S56" s="151">
        <f>VLOOKUP($E56,'4.เขตปรับKและเกลี่ยเงินเพิ่มฯ'!$E$16:$AH$110,30,FALSE)</f>
        <v>27324469.02</v>
      </c>
    </row>
    <row r="57" spans="1:19" s="139" customFormat="1" ht="15" customHeight="1" outlineLevel="1">
      <c r="A57" s="153"/>
      <c r="B57" s="153"/>
      <c r="C57" s="152"/>
      <c r="D57" s="154" t="s">
        <v>266</v>
      </c>
      <c r="E57" s="155"/>
      <c r="F57" s="155"/>
      <c r="G57" s="156"/>
      <c r="H57" s="156">
        <f t="shared" ref="H57:S57" si="7">SUBTOTAL(9,H43:H56)</f>
        <v>691089878.05999994</v>
      </c>
      <c r="I57" s="156">
        <f t="shared" si="7"/>
        <v>132391370.35000001</v>
      </c>
      <c r="J57" s="156">
        <f t="shared" si="7"/>
        <v>581519174.53999996</v>
      </c>
      <c r="K57" s="156">
        <f t="shared" si="7"/>
        <v>1405000422.9499998</v>
      </c>
      <c r="L57" s="156">
        <f t="shared" si="7"/>
        <v>640310200</v>
      </c>
      <c r="M57" s="156">
        <f t="shared" si="7"/>
        <v>764690222.95000005</v>
      </c>
      <c r="N57" s="156">
        <f t="shared" si="7"/>
        <v>15876395.6</v>
      </c>
      <c r="O57" s="156">
        <f t="shared" si="7"/>
        <v>780566618.55000007</v>
      </c>
      <c r="P57" s="156">
        <f t="shared" si="7"/>
        <v>0</v>
      </c>
      <c r="Q57" s="156">
        <f t="shared" si="7"/>
        <v>780566618.55000007</v>
      </c>
      <c r="R57" s="156">
        <f t="shared" si="7"/>
        <v>0</v>
      </c>
      <c r="S57" s="156">
        <f t="shared" si="7"/>
        <v>725289520.38</v>
      </c>
    </row>
    <row r="58" spans="1:19" s="139" customFormat="1" ht="15" customHeight="1" outlineLevel="2">
      <c r="A58" s="141">
        <v>548</v>
      </c>
      <c r="B58" s="141" t="s">
        <v>26</v>
      </c>
      <c r="C58" s="140" t="s">
        <v>133</v>
      </c>
      <c r="D58" s="142" t="s">
        <v>134</v>
      </c>
      <c r="E58" s="142" t="s">
        <v>135</v>
      </c>
      <c r="F58" s="142" t="s">
        <v>136</v>
      </c>
      <c r="G58" s="151">
        <f>VLOOKUP($E58,'4.เขตปรับKและเกลี่ยเงินเพิ่มฯ'!$E$16:$I$110,5,FALSE)</f>
        <v>1.1000000000000001</v>
      </c>
      <c r="H58" s="151">
        <f>VLOOKUP($E58,'4.เขตปรับKและเกลี่ยเงินเพิ่มฯ'!$E$16:$AO$110,14,FALSE)</f>
        <v>119983486.83</v>
      </c>
      <c r="I58" s="151">
        <f>VLOOKUP($E58,'4.เขตปรับKและเกลี่ยเงินเพิ่มฯ'!$E$16:$AO$110,15,FALSE)</f>
        <v>23159666.07</v>
      </c>
      <c r="J58" s="151">
        <f>VLOOKUP($E58,'4.เขตปรับKและเกลี่ยเงินเพิ่มฯ'!$E$16:$AO$110,16,FALSE)+VLOOKUP($E58,'4.เขตปรับKและเกลี่ยเงินเพิ่มฯ'!$E$16:$AO$110,17,FALSE)+VLOOKUP($E58,'4.เขตปรับKและเกลี่ยเงินเพิ่มฯ'!$E$16:$AO$110,18,FALSE)+VLOOKUP($E58,'4.เขตปรับKและเกลี่ยเงินเพิ่มฯ'!$E$16:$AO$110,19,FALSE)</f>
        <v>208960587.57000002</v>
      </c>
      <c r="K58" s="151">
        <f>VLOOKUP($E58,'4.เขตปรับKและเกลี่ยเงินเพิ่มฯ'!$E$16:$X$110,20,FALSE)</f>
        <v>352103740.47000003</v>
      </c>
      <c r="L58" s="151">
        <f>VLOOKUP($E58,'4.เขตปรับKและเกลี่ยเงินเพิ่มฯ'!$E$16:$AO$110,21,FALSE)</f>
        <v>226005100</v>
      </c>
      <c r="M58" s="151">
        <f>VLOOKUP($E58,'4.เขตปรับKและเกลี่ยเงินเพิ่มฯ'!$E$16:$AO$110,22,FALSE)</f>
        <v>126098640.47</v>
      </c>
      <c r="N58" s="151">
        <f>VLOOKUP($E58,'4.เขตปรับKและเกลี่ยเงินเพิ่มฯ'!$E$16:$AA$110,23,FALSE)</f>
        <v>7190376.9900000002</v>
      </c>
      <c r="O58" s="151">
        <f>VLOOKUP($E58,'4.เขตปรับKและเกลี่ยเงินเพิ่มฯ'!$E$16:$AB$110,24,FALSE)</f>
        <v>133289017.45999999</v>
      </c>
      <c r="P58" s="151">
        <f>VLOOKUP($E58,'4.เขตปรับKและเกลี่ยเงินเพิ่มฯ'!$E$16:$AM$110,35,FALSE)</f>
        <v>0</v>
      </c>
      <c r="Q58" s="151">
        <f t="shared" ref="Q58:Q66" si="8">ROUND(O58-P58,2)</f>
        <v>133289017.45999999</v>
      </c>
      <c r="R58" s="151">
        <f>VLOOKUP($E58,'4.เขตปรับKและเกลี่ยเงินเพิ่มฯ'!$E$16:$AI$110,31,FALSE)</f>
        <v>0</v>
      </c>
      <c r="S58" s="151">
        <f>VLOOKUP($E58,'4.เขตปรับKและเกลี่ยเงินเพิ่มฯ'!$E$16:$AH$110,30,FALSE)</f>
        <v>133289017.45999999</v>
      </c>
    </row>
    <row r="59" spans="1:19" s="139" customFormat="1" ht="15" customHeight="1" outlineLevel="2">
      <c r="A59" s="82">
        <v>549</v>
      </c>
      <c r="B59" s="82" t="s">
        <v>26</v>
      </c>
      <c r="C59" s="140" t="s">
        <v>133</v>
      </c>
      <c r="D59" s="140" t="s">
        <v>134</v>
      </c>
      <c r="E59" s="140" t="s">
        <v>137</v>
      </c>
      <c r="F59" s="140" t="s">
        <v>138</v>
      </c>
      <c r="G59" s="151">
        <f>VLOOKUP($E59,'4.เขตปรับKและเกลี่ยเงินเพิ่มฯ'!$E$16:$I$110,5,FALSE)</f>
        <v>1.1499999999999999</v>
      </c>
      <c r="H59" s="151">
        <f>VLOOKUP($E59,'4.เขตปรับKและเกลี่ยเงินเพิ่มฯ'!$E$16:$AO$110,14,FALSE)</f>
        <v>74370880.950000003</v>
      </c>
      <c r="I59" s="151">
        <f>VLOOKUP($E59,'4.เขตปรับKและเกลี่ยเงินเพิ่มฯ'!$E$16:$AO$110,15,FALSE)</f>
        <v>14355348.51</v>
      </c>
      <c r="J59" s="151">
        <f>VLOOKUP($E59,'4.เขตปรับKและเกลี่ยเงินเพิ่มฯ'!$E$16:$AO$110,16,FALSE)+VLOOKUP($E59,'4.เขตปรับKและเกลี่ยเงินเพิ่มฯ'!$E$16:$AO$110,17,FALSE)+VLOOKUP($E59,'4.เขตปรับKและเกลี่ยเงินเพิ่มฯ'!$E$16:$AO$110,18,FALSE)+VLOOKUP($E59,'4.เขตปรับKและเกลี่ยเงินเพิ่มฯ'!$E$16:$AO$110,19,FALSE)</f>
        <v>34359421.060000002</v>
      </c>
      <c r="K59" s="151">
        <f>VLOOKUP($E59,'4.เขตปรับKและเกลี่ยเงินเพิ่มฯ'!$E$16:$X$110,20,FALSE)</f>
        <v>123085650.52000001</v>
      </c>
      <c r="L59" s="151">
        <f>VLOOKUP($E59,'4.เขตปรับKและเกลี่ยเงินเพิ่มฯ'!$E$16:$AO$110,21,FALSE)</f>
        <v>63829513</v>
      </c>
      <c r="M59" s="151">
        <f>VLOOKUP($E59,'4.เขตปรับKและเกลี่ยเงินเพิ่มฯ'!$E$16:$AO$110,22,FALSE)</f>
        <v>59256137.520000003</v>
      </c>
      <c r="N59" s="151">
        <f>VLOOKUP($E59,'4.เขตปรับKและเกลี่ยเงินเพิ่มฯ'!$E$16:$AA$110,23,FALSE)</f>
        <v>5329898.3899999997</v>
      </c>
      <c r="O59" s="151">
        <f>VLOOKUP($E59,'4.เขตปรับKและเกลี่ยเงินเพิ่มฯ'!$E$16:$AB$110,24,FALSE)</f>
        <v>64586035.909999996</v>
      </c>
      <c r="P59" s="151">
        <f>VLOOKUP($E59,'4.เขตปรับKและเกลี่ยเงินเพิ่มฯ'!$E$16:$AM$110,35,FALSE)</f>
        <v>0</v>
      </c>
      <c r="Q59" s="151">
        <f t="shared" si="8"/>
        <v>64586035.909999996</v>
      </c>
      <c r="R59" s="151">
        <f>VLOOKUP($E59,'4.เขตปรับKและเกลี่ยเงินเพิ่มฯ'!$E$16:$AI$110,31,FALSE)</f>
        <v>0</v>
      </c>
      <c r="S59" s="151">
        <f>VLOOKUP($E59,'4.เขตปรับKและเกลี่ยเงินเพิ่มฯ'!$E$16:$AH$110,30,FALSE)</f>
        <v>64586035.909999996</v>
      </c>
    </row>
    <row r="60" spans="1:19" s="139" customFormat="1" ht="15" customHeight="1" outlineLevel="2">
      <c r="A60" s="82">
        <v>550</v>
      </c>
      <c r="B60" s="82" t="s">
        <v>26</v>
      </c>
      <c r="C60" s="140" t="s">
        <v>133</v>
      </c>
      <c r="D60" s="140" t="s">
        <v>134</v>
      </c>
      <c r="E60" s="140" t="s">
        <v>139</v>
      </c>
      <c r="F60" s="140" t="s">
        <v>140</v>
      </c>
      <c r="G60" s="151">
        <f>VLOOKUP($E60,'4.เขตปรับKและเกลี่ยเงินเพิ่มฯ'!$E$16:$I$110,5,FALSE)</f>
        <v>1.3</v>
      </c>
      <c r="H60" s="151">
        <f>VLOOKUP($E60,'4.เขตปรับKและเกลี่ยเงินเพิ่มฯ'!$E$16:$AO$110,14,FALSE)</f>
        <v>36536227.420000002</v>
      </c>
      <c r="I60" s="151">
        <f>VLOOKUP($E60,'4.เขตปรับKและเกลี่ยเงินเพิ่มฯ'!$E$16:$AO$110,15,FALSE)</f>
        <v>7052360.7000000002</v>
      </c>
      <c r="J60" s="151">
        <f>VLOOKUP($E60,'4.เขตปรับKและเกลี่ยเงินเพิ่มฯ'!$E$16:$AO$110,16,FALSE)+VLOOKUP($E60,'4.เขตปรับKและเกลี่ยเงินเพิ่มฯ'!$E$16:$AO$110,17,FALSE)+VLOOKUP($E60,'4.เขตปรับKและเกลี่ยเงินเพิ่มฯ'!$E$16:$AO$110,18,FALSE)+VLOOKUP($E60,'4.เขตปรับKและเกลี่ยเงินเพิ่มฯ'!$E$16:$AO$110,19,FALSE)</f>
        <v>9782902.6699999999</v>
      </c>
      <c r="K60" s="151">
        <f>VLOOKUP($E60,'4.เขตปรับKและเกลี่ยเงินเพิ่มฯ'!$E$16:$X$110,20,FALSE)</f>
        <v>53371490.790000007</v>
      </c>
      <c r="L60" s="151">
        <f>VLOOKUP($E60,'4.เขตปรับKและเกลี่ยเงินเพิ่มฯ'!$E$16:$AO$110,21,FALSE)</f>
        <v>29102865</v>
      </c>
      <c r="M60" s="151">
        <f>VLOOKUP($E60,'4.เขตปรับKและเกลี่ยเงินเพิ่มฯ'!$E$16:$AO$110,22,FALSE)</f>
        <v>24268625.789999999</v>
      </c>
      <c r="N60" s="151">
        <f>VLOOKUP($E60,'4.เขตปรับKและเกลี่ยเงินเพิ่มฯ'!$E$16:$AA$110,23,FALSE)</f>
        <v>0</v>
      </c>
      <c r="O60" s="151">
        <f>VLOOKUP($E60,'4.เขตปรับKและเกลี่ยเงินเพิ่มฯ'!$E$16:$AB$110,24,FALSE)</f>
        <v>24268625.789999999</v>
      </c>
      <c r="P60" s="151">
        <f>VLOOKUP($E60,'4.เขตปรับKและเกลี่ยเงินเพิ่มฯ'!$E$16:$AM$110,35,FALSE)</f>
        <v>0</v>
      </c>
      <c r="Q60" s="151">
        <f t="shared" si="8"/>
        <v>24268625.789999999</v>
      </c>
      <c r="R60" s="151">
        <f>VLOOKUP($E60,'4.เขตปรับKและเกลี่ยเงินเพิ่มฯ'!$E$16:$AI$110,31,FALSE)</f>
        <v>0</v>
      </c>
      <c r="S60" s="151">
        <f>VLOOKUP($E60,'4.เขตปรับKและเกลี่ยเงินเพิ่มฯ'!$E$16:$AH$110,30,FALSE)</f>
        <v>22480518.870000001</v>
      </c>
    </row>
    <row r="61" spans="1:19" s="139" customFormat="1" ht="15" customHeight="1" outlineLevel="2">
      <c r="A61" s="82">
        <v>551</v>
      </c>
      <c r="B61" s="82" t="s">
        <v>26</v>
      </c>
      <c r="C61" s="140" t="s">
        <v>133</v>
      </c>
      <c r="D61" s="140" t="s">
        <v>134</v>
      </c>
      <c r="E61" s="140" t="s">
        <v>141</v>
      </c>
      <c r="F61" s="140" t="s">
        <v>142</v>
      </c>
      <c r="G61" s="151">
        <f>VLOOKUP($E61,'4.เขตปรับKและเกลี่ยเงินเพิ่มฯ'!$E$16:$I$110,5,FALSE)</f>
        <v>1.3</v>
      </c>
      <c r="H61" s="151">
        <f>VLOOKUP($E61,'4.เขตปรับKและเกลี่ยเงินเพิ่มฯ'!$E$16:$AO$110,14,FALSE)</f>
        <v>32946923.170000002</v>
      </c>
      <c r="I61" s="151">
        <f>VLOOKUP($E61,'4.เขตปรับKและเกลี่ยเงินเพิ่มฯ'!$E$16:$AO$110,15,FALSE)</f>
        <v>6359539.6299999999</v>
      </c>
      <c r="J61" s="151">
        <f>VLOOKUP($E61,'4.เขตปรับKและเกลี่ยเงินเพิ่มฯ'!$E$16:$AO$110,16,FALSE)+VLOOKUP($E61,'4.เขตปรับKและเกลี่ยเงินเพิ่มฯ'!$E$16:$AO$110,17,FALSE)+VLOOKUP($E61,'4.เขตปรับKและเกลี่ยเงินเพิ่มฯ'!$E$16:$AO$110,18,FALSE)+VLOOKUP($E61,'4.เขตปรับKและเกลี่ยเงินเพิ่มฯ'!$E$16:$AO$110,19,FALSE)</f>
        <v>14951515.609999999</v>
      </c>
      <c r="K61" s="151">
        <f>VLOOKUP($E61,'4.เขตปรับKและเกลี่ยเงินเพิ่มฯ'!$E$16:$X$110,20,FALSE)</f>
        <v>54257978.410000004</v>
      </c>
      <c r="L61" s="151">
        <f>VLOOKUP($E61,'4.เขตปรับKและเกลี่ยเงินเพิ่มฯ'!$E$16:$AO$110,21,FALSE)</f>
        <v>23998564</v>
      </c>
      <c r="M61" s="151">
        <f>VLOOKUP($E61,'4.เขตปรับKและเกลี่ยเงินเพิ่มฯ'!$E$16:$AO$110,22,FALSE)</f>
        <v>30259414.41</v>
      </c>
      <c r="N61" s="151">
        <f>VLOOKUP($E61,'4.เขตปรับKและเกลี่ยเงินเพิ่มฯ'!$E$16:$AA$110,23,FALSE)</f>
        <v>0</v>
      </c>
      <c r="O61" s="151">
        <f>VLOOKUP($E61,'4.เขตปรับKและเกลี่ยเงินเพิ่มฯ'!$E$16:$AB$110,24,FALSE)</f>
        <v>30259414.41</v>
      </c>
      <c r="P61" s="151">
        <f>VLOOKUP($E61,'4.เขตปรับKและเกลี่ยเงินเพิ่มฯ'!$E$16:$AM$110,35,FALSE)</f>
        <v>0</v>
      </c>
      <c r="Q61" s="151">
        <f t="shared" si="8"/>
        <v>30259414.41</v>
      </c>
      <c r="R61" s="151">
        <f>VLOOKUP($E61,'4.เขตปรับKและเกลี่ยเงินเพิ่มฯ'!$E$16:$AI$110,31,FALSE)</f>
        <v>0</v>
      </c>
      <c r="S61" s="151">
        <f>VLOOKUP($E61,'4.เขตปรับKและเกลี่ยเงินเพิ่มฯ'!$E$16:$AH$110,30,FALSE)</f>
        <v>27687995.539999999</v>
      </c>
    </row>
    <row r="62" spans="1:19" s="139" customFormat="1" ht="15" customHeight="1" outlineLevel="2">
      <c r="A62" s="82">
        <v>552</v>
      </c>
      <c r="B62" s="82" t="s">
        <v>26</v>
      </c>
      <c r="C62" s="140" t="s">
        <v>133</v>
      </c>
      <c r="D62" s="140" t="s">
        <v>134</v>
      </c>
      <c r="E62" s="140" t="s">
        <v>143</v>
      </c>
      <c r="F62" s="140" t="s">
        <v>144</v>
      </c>
      <c r="G62" s="151">
        <f>VLOOKUP($E62,'4.เขตปรับKและเกลี่ยเงินเพิ่มฯ'!$E$16:$I$110,5,FALSE)</f>
        <v>1.1499999999999999</v>
      </c>
      <c r="H62" s="151">
        <f>VLOOKUP($E62,'4.เขตปรับKและเกลี่ยเงินเพิ่มฯ'!$E$16:$AO$110,14,FALSE)</f>
        <v>78189757.099999994</v>
      </c>
      <c r="I62" s="151">
        <f>VLOOKUP($E62,'4.เขตปรับKและเกลี่ยเงินเพิ่มฯ'!$E$16:$AO$110,15,FALSE)</f>
        <v>15092482.41</v>
      </c>
      <c r="J62" s="151">
        <f>VLOOKUP($E62,'4.เขตปรับKและเกลี่ยเงินเพิ่มฯ'!$E$16:$AO$110,16,FALSE)+VLOOKUP($E62,'4.เขตปรับKและเกลี่ยเงินเพิ่มฯ'!$E$16:$AO$110,17,FALSE)+VLOOKUP($E62,'4.เขตปรับKและเกลี่ยเงินเพิ่มฯ'!$E$16:$AO$110,18,FALSE)+VLOOKUP($E62,'4.เขตปรับKและเกลี่ยเงินเพิ่มฯ'!$E$16:$AO$110,19,FALSE)</f>
        <v>129595963.92999999</v>
      </c>
      <c r="K62" s="151">
        <f>VLOOKUP($E62,'4.เขตปรับKและเกลี่ยเงินเพิ่มฯ'!$E$16:$X$110,20,FALSE)</f>
        <v>222878203.44</v>
      </c>
      <c r="L62" s="151">
        <f>VLOOKUP($E62,'4.เขตปรับKและเกลี่ยเงินเพิ่มฯ'!$E$16:$AO$110,21,FALSE)</f>
        <v>105614700</v>
      </c>
      <c r="M62" s="151">
        <f>VLOOKUP($E62,'4.เขตปรับKและเกลี่ยเงินเพิ่มฯ'!$E$16:$AO$110,22,FALSE)</f>
        <v>117263503.44</v>
      </c>
      <c r="N62" s="151">
        <f>VLOOKUP($E62,'4.เขตปรับKและเกลี่ยเงินเพิ่มฯ'!$E$16:$AA$110,23,FALSE)</f>
        <v>5036880.57</v>
      </c>
      <c r="O62" s="151">
        <f>VLOOKUP($E62,'4.เขตปรับKและเกลี่ยเงินเพิ่มฯ'!$E$16:$AB$110,24,FALSE)</f>
        <v>122300384.01000001</v>
      </c>
      <c r="P62" s="151">
        <f>VLOOKUP($E62,'4.เขตปรับKและเกลี่ยเงินเพิ่มฯ'!$E$16:$AM$110,35,FALSE)</f>
        <v>0</v>
      </c>
      <c r="Q62" s="151">
        <f t="shared" si="8"/>
        <v>122300384.01000001</v>
      </c>
      <c r="R62" s="151">
        <f>VLOOKUP($E62,'4.เขตปรับKและเกลี่ยเงินเพิ่มฯ'!$E$16:$AI$110,31,FALSE)</f>
        <v>0</v>
      </c>
      <c r="S62" s="151">
        <f>VLOOKUP($E62,'4.เขตปรับKและเกลี่ยเงินเพิ่มฯ'!$E$16:$AH$110,30,FALSE)</f>
        <v>122300384.01000001</v>
      </c>
    </row>
    <row r="63" spans="1:19" s="139" customFormat="1" ht="15" customHeight="1" outlineLevel="2">
      <c r="A63" s="82">
        <v>553</v>
      </c>
      <c r="B63" s="82" t="s">
        <v>26</v>
      </c>
      <c r="C63" s="140" t="s">
        <v>133</v>
      </c>
      <c r="D63" s="140" t="s">
        <v>134</v>
      </c>
      <c r="E63" s="140" t="s">
        <v>145</v>
      </c>
      <c r="F63" s="140" t="s">
        <v>146</v>
      </c>
      <c r="G63" s="151">
        <f>VLOOKUP($E63,'4.เขตปรับKและเกลี่ยเงินเพิ่มฯ'!$E$16:$I$110,5,FALSE)</f>
        <v>1.3</v>
      </c>
      <c r="H63" s="151">
        <f>VLOOKUP($E63,'4.เขตปรับKและเกลี่ยเงินเพิ่มฯ'!$E$16:$AO$110,14,FALSE)</f>
        <v>32333148.309999999</v>
      </c>
      <c r="I63" s="151">
        <f>VLOOKUP($E63,'4.เขตปรับKและเกลี่ยเงินเพิ่มฯ'!$E$16:$AO$110,15,FALSE)</f>
        <v>6241066.4900000002</v>
      </c>
      <c r="J63" s="151">
        <f>VLOOKUP($E63,'4.เขตปรับKและเกลี่ยเงินเพิ่มฯ'!$E$16:$AO$110,16,FALSE)+VLOOKUP($E63,'4.เขตปรับKและเกลี่ยเงินเพิ่มฯ'!$E$16:$AO$110,17,FALSE)+VLOOKUP($E63,'4.เขตปรับKและเกลี่ยเงินเพิ่มฯ'!$E$16:$AO$110,18,FALSE)+VLOOKUP($E63,'4.เขตปรับKและเกลี่ยเงินเพิ่มฯ'!$E$16:$AO$110,19,FALSE)</f>
        <v>7129965.1900000004</v>
      </c>
      <c r="K63" s="151">
        <f>VLOOKUP($E63,'4.เขตปรับKและเกลี่ยเงินเพิ่มฯ'!$E$16:$X$110,20,FALSE)</f>
        <v>45704179.990000002</v>
      </c>
      <c r="L63" s="151">
        <f>VLOOKUP($E63,'4.เขตปรับKและเกลี่ยเงินเพิ่มฯ'!$E$16:$AO$110,21,FALSE)</f>
        <v>18503619</v>
      </c>
      <c r="M63" s="151">
        <f>VLOOKUP($E63,'4.เขตปรับKและเกลี่ยเงินเพิ่มฯ'!$E$16:$AO$110,22,FALSE)</f>
        <v>27200560.989999998</v>
      </c>
      <c r="N63" s="151">
        <f>VLOOKUP($E63,'4.เขตปรับKและเกลี่ยเงินเพิ่มฯ'!$E$16:$AA$110,23,FALSE)</f>
        <v>0</v>
      </c>
      <c r="O63" s="151">
        <f>VLOOKUP($E63,'4.เขตปรับKและเกลี่ยเงินเพิ่มฯ'!$E$16:$AB$110,24,FALSE)</f>
        <v>27200560.989999998</v>
      </c>
      <c r="P63" s="151">
        <f>VLOOKUP($E63,'4.เขตปรับKและเกลี่ยเงินเพิ่มฯ'!$E$16:$AM$110,35,FALSE)</f>
        <v>0</v>
      </c>
      <c r="Q63" s="151">
        <f t="shared" si="8"/>
        <v>27200560.989999998</v>
      </c>
      <c r="R63" s="151">
        <f>VLOOKUP($E63,'4.เขตปรับKและเกลี่ยเงินเพิ่มฯ'!$E$16:$AI$110,31,FALSE)</f>
        <v>0</v>
      </c>
      <c r="S63" s="151">
        <f>VLOOKUP($E63,'4.เขตปรับKและเกลี่ยเงินเพิ่มฯ'!$E$16:$AH$110,30,FALSE)</f>
        <v>21985478.690000001</v>
      </c>
    </row>
    <row r="64" spans="1:19" s="139" customFormat="1" ht="15" customHeight="1" outlineLevel="2">
      <c r="A64" s="82">
        <v>554</v>
      </c>
      <c r="B64" s="82" t="s">
        <v>26</v>
      </c>
      <c r="C64" s="140" t="s">
        <v>133</v>
      </c>
      <c r="D64" s="140" t="s">
        <v>134</v>
      </c>
      <c r="E64" s="140" t="s">
        <v>147</v>
      </c>
      <c r="F64" s="140" t="s">
        <v>148</v>
      </c>
      <c r="G64" s="151">
        <f>VLOOKUP($E64,'4.เขตปรับKและเกลี่ยเงินเพิ่มฯ'!$E$16:$I$110,5,FALSE)</f>
        <v>1.35</v>
      </c>
      <c r="H64" s="151">
        <f>VLOOKUP($E64,'4.เขตปรับKและเกลี่ยเงินเพิ่มฯ'!$E$16:$AO$110,14,FALSE)</f>
        <v>20288181.960000001</v>
      </c>
      <c r="I64" s="151">
        <f>VLOOKUP($E64,'4.เขตปรับKและเกลี่ยเงินเพิ่มฯ'!$E$16:$AO$110,15,FALSE)</f>
        <v>3916101.55</v>
      </c>
      <c r="J64" s="151">
        <f>VLOOKUP($E64,'4.เขตปรับKและเกลี่ยเงินเพิ่มฯ'!$E$16:$AO$110,16,FALSE)+VLOOKUP($E64,'4.เขตปรับKและเกลี่ยเงินเพิ่มฯ'!$E$16:$AO$110,17,FALSE)+VLOOKUP($E64,'4.เขตปรับKและเกลี่ยเงินเพิ่มฯ'!$E$16:$AO$110,18,FALSE)+VLOOKUP($E64,'4.เขตปรับKและเกลี่ยเงินเพิ่มฯ'!$E$16:$AO$110,19,FALSE)</f>
        <v>7257655.5200000005</v>
      </c>
      <c r="K64" s="151">
        <f>VLOOKUP($E64,'4.เขตปรับKและเกลี่ยเงินเพิ่มฯ'!$E$16:$X$110,20,FALSE)</f>
        <v>31461939.030000001</v>
      </c>
      <c r="L64" s="151">
        <f>VLOOKUP($E64,'4.เขตปรับKและเกลี่ยเงินเพิ่มฯ'!$E$16:$AO$110,21,FALSE)</f>
        <v>12731420</v>
      </c>
      <c r="M64" s="151">
        <f>VLOOKUP($E64,'4.เขตปรับKและเกลี่ยเงินเพิ่มฯ'!$E$16:$AO$110,22,FALSE)</f>
        <v>18730519.030000001</v>
      </c>
      <c r="N64" s="151">
        <f>VLOOKUP($E64,'4.เขตปรับKและเกลี่ยเงินเพิ่มฯ'!$E$16:$AA$110,23,FALSE)</f>
        <v>0</v>
      </c>
      <c r="O64" s="151">
        <f>VLOOKUP($E64,'4.เขตปรับKและเกลี่ยเงินเพิ่มฯ'!$E$16:$AB$110,24,FALSE)</f>
        <v>18730519.030000001</v>
      </c>
      <c r="P64" s="151">
        <f>VLOOKUP($E64,'4.เขตปรับKและเกลี่ยเงินเพิ่มฯ'!$E$16:$AM$110,35,FALSE)</f>
        <v>0</v>
      </c>
      <c r="Q64" s="151">
        <f t="shared" si="8"/>
        <v>18730519.030000001</v>
      </c>
      <c r="R64" s="151">
        <f>VLOOKUP($E64,'4.เขตปรับKและเกลี่ยเงินเพิ่มฯ'!$E$16:$AI$110,31,FALSE)</f>
        <v>0</v>
      </c>
      <c r="S64" s="151">
        <f>VLOOKUP($E64,'4.เขตปรับKและเกลี่ยเงินเพิ่มฯ'!$E$16:$AH$110,30,FALSE)</f>
        <v>13349726.470000001</v>
      </c>
    </row>
    <row r="65" spans="1:19" s="139" customFormat="1" ht="15" customHeight="1" outlineLevel="2">
      <c r="A65" s="82">
        <v>555</v>
      </c>
      <c r="B65" s="82" t="s">
        <v>26</v>
      </c>
      <c r="C65" s="140" t="s">
        <v>133</v>
      </c>
      <c r="D65" s="140" t="s">
        <v>134</v>
      </c>
      <c r="E65" s="140" t="s">
        <v>149</v>
      </c>
      <c r="F65" s="140" t="s">
        <v>150</v>
      </c>
      <c r="G65" s="151">
        <f>VLOOKUP($E65,'4.เขตปรับKและเกลี่ยเงินเพิ่มฯ'!$E$16:$I$110,5,FALSE)</f>
        <v>1.25</v>
      </c>
      <c r="H65" s="151">
        <f>VLOOKUP($E65,'4.เขตปรับKและเกลี่ยเงินเพิ่มฯ'!$E$16:$AO$110,14,FALSE)</f>
        <v>52069298.229999997</v>
      </c>
      <c r="I65" s="151">
        <f>VLOOKUP($E65,'4.เขตปรับKและเกลี่ยเงินเพิ่มฯ'!$E$16:$AO$110,15,FALSE)</f>
        <v>10050612.73</v>
      </c>
      <c r="J65" s="151">
        <f>VLOOKUP($E65,'4.เขตปรับKและเกลี่ยเงินเพิ่มฯ'!$E$16:$AO$110,16,FALSE)+VLOOKUP($E65,'4.เขตปรับKและเกลี่ยเงินเพิ่มฯ'!$E$16:$AO$110,17,FALSE)+VLOOKUP($E65,'4.เขตปรับKและเกลี่ยเงินเพิ่มฯ'!$E$16:$AO$110,18,FALSE)+VLOOKUP($E65,'4.เขตปรับKและเกลี่ยเงินเพิ่มฯ'!$E$16:$AO$110,19,FALSE)</f>
        <v>10804794.369999999</v>
      </c>
      <c r="K65" s="151">
        <f>VLOOKUP($E65,'4.เขตปรับKและเกลี่ยเงินเพิ่มฯ'!$E$16:$X$110,20,FALSE)</f>
        <v>72924705.329999983</v>
      </c>
      <c r="L65" s="151">
        <f>VLOOKUP($E65,'4.เขตปรับKและเกลี่ยเงินเพิ่มฯ'!$E$16:$AO$110,21,FALSE)</f>
        <v>17544512</v>
      </c>
      <c r="M65" s="151">
        <f>VLOOKUP($E65,'4.เขตปรับKและเกลี่ยเงินเพิ่มฯ'!$E$16:$AO$110,22,FALSE)</f>
        <v>55380193.329999998</v>
      </c>
      <c r="N65" s="151">
        <f>VLOOKUP($E65,'4.เขตปรับKและเกลี่ยเงินเพิ่มฯ'!$E$16:$AA$110,23,FALSE)</f>
        <v>0</v>
      </c>
      <c r="O65" s="151">
        <f>VLOOKUP($E65,'4.เขตปรับKและเกลี่ยเงินเพิ่มฯ'!$E$16:$AB$110,24,FALSE)</f>
        <v>55380193.329999998</v>
      </c>
      <c r="P65" s="151">
        <f>VLOOKUP($E65,'4.เขตปรับKและเกลี่ยเงินเพิ่มฯ'!$E$16:$AM$110,35,FALSE)</f>
        <v>0</v>
      </c>
      <c r="Q65" s="151">
        <f t="shared" si="8"/>
        <v>55380193.329999998</v>
      </c>
      <c r="R65" s="151">
        <f>VLOOKUP($E65,'4.เขตปรับKและเกลี่ยเงินเพิ่มฯ'!$E$16:$AI$110,31,FALSE)</f>
        <v>0</v>
      </c>
      <c r="S65" s="151">
        <f>VLOOKUP($E65,'4.เขตปรับKและเกลี่ยเงินเพิ่มฯ'!$E$16:$AH$110,30,FALSE)</f>
        <v>45857934.68</v>
      </c>
    </row>
    <row r="66" spans="1:19" s="139" customFormat="1" ht="15" customHeight="1" outlineLevel="2">
      <c r="A66" s="82">
        <v>556</v>
      </c>
      <c r="B66" s="82" t="s">
        <v>26</v>
      </c>
      <c r="C66" s="140" t="s">
        <v>133</v>
      </c>
      <c r="D66" s="140" t="s">
        <v>134</v>
      </c>
      <c r="E66" s="140" t="s">
        <v>151</v>
      </c>
      <c r="F66" s="140" t="s">
        <v>152</v>
      </c>
      <c r="G66" s="151">
        <f>VLOOKUP($E66,'4.เขตปรับKและเกลี่ยเงินเพิ่มฯ'!$E$16:$I$110,5,FALSE)</f>
        <v>1.3</v>
      </c>
      <c r="H66" s="151">
        <f>VLOOKUP($E66,'4.เขตปรับKและเกลี่ยเงินเพิ่มฯ'!$E$16:$AO$110,14,FALSE)</f>
        <v>43745524.670000002</v>
      </c>
      <c r="I66" s="151">
        <f>VLOOKUP($E66,'4.เขตปรับKและเกลี่ยเงินเพิ่มฯ'!$E$16:$AO$110,15,FALSE)</f>
        <v>8443926.5</v>
      </c>
      <c r="J66" s="151">
        <f>VLOOKUP($E66,'4.เขตปรับKและเกลี่ยเงินเพิ่มฯ'!$E$16:$AO$110,16,FALSE)+VLOOKUP($E66,'4.เขตปรับKและเกลี่ยเงินเพิ่มฯ'!$E$16:$AO$110,17,FALSE)+VLOOKUP($E66,'4.เขตปรับKและเกลี่ยเงินเพิ่มฯ'!$E$16:$AO$110,18,FALSE)+VLOOKUP($E66,'4.เขตปรับKและเกลี่ยเงินเพิ่มฯ'!$E$16:$AO$110,19,FALSE)</f>
        <v>7079069.5800000001</v>
      </c>
      <c r="K66" s="151">
        <f>VLOOKUP($E66,'4.เขตปรับKและเกลี่ยเงินเพิ่มฯ'!$E$16:$X$110,20,FALSE)</f>
        <v>59268520.75</v>
      </c>
      <c r="L66" s="151">
        <f>VLOOKUP($E66,'4.เขตปรับKและเกลี่ยเงินเพิ่มฯ'!$E$16:$AO$110,21,FALSE)</f>
        <v>16453207</v>
      </c>
      <c r="M66" s="151">
        <f>VLOOKUP($E66,'4.เขตปรับKและเกลี่ยเงินเพิ่มฯ'!$E$16:$AO$110,22,FALSE)</f>
        <v>42815313.75</v>
      </c>
      <c r="N66" s="151">
        <f>VLOOKUP($E66,'4.เขตปรับKและเกลี่ยเงินเพิ่มฯ'!$E$16:$AA$110,23,FALSE)</f>
        <v>0</v>
      </c>
      <c r="O66" s="151">
        <f>VLOOKUP($E66,'4.เขตปรับKและเกลี่ยเงินเพิ่มฯ'!$E$16:$AB$110,24,FALSE)</f>
        <v>42815313.75</v>
      </c>
      <c r="P66" s="151">
        <f>VLOOKUP($E66,'4.เขตปรับKและเกลี่ยเงินเพิ่มฯ'!$E$16:$AM$110,35,FALSE)</f>
        <v>0</v>
      </c>
      <c r="Q66" s="151">
        <f t="shared" si="8"/>
        <v>42815313.75</v>
      </c>
      <c r="R66" s="151">
        <f>VLOOKUP($E66,'4.เขตปรับKและเกลี่ยเงินเพิ่มฯ'!$E$16:$AI$110,31,FALSE)</f>
        <v>0</v>
      </c>
      <c r="S66" s="151">
        <f>VLOOKUP($E66,'4.เขตปรับKและเกลี่ยเงินเพิ่มฯ'!$E$16:$AH$110,30,FALSE)</f>
        <v>30559847.68</v>
      </c>
    </row>
    <row r="67" spans="1:19" s="139" customFormat="1" ht="15" customHeight="1" outlineLevel="1">
      <c r="A67" s="153"/>
      <c r="B67" s="153"/>
      <c r="C67" s="152"/>
      <c r="D67" s="154" t="s">
        <v>267</v>
      </c>
      <c r="E67" s="155"/>
      <c r="F67" s="155"/>
      <c r="G67" s="156"/>
      <c r="H67" s="156">
        <f t="shared" ref="H67:S67" si="9">SUBTOTAL(9,H58:H66)</f>
        <v>490463428.64000005</v>
      </c>
      <c r="I67" s="156">
        <f t="shared" si="9"/>
        <v>94671104.590000004</v>
      </c>
      <c r="J67" s="156">
        <f t="shared" si="9"/>
        <v>429921875.5</v>
      </c>
      <c r="K67" s="156">
        <f t="shared" si="9"/>
        <v>1015056408.73</v>
      </c>
      <c r="L67" s="156">
        <f t="shared" si="9"/>
        <v>513783500</v>
      </c>
      <c r="M67" s="156">
        <f t="shared" si="9"/>
        <v>501272908.72999996</v>
      </c>
      <c r="N67" s="156">
        <f t="shared" si="9"/>
        <v>17557155.949999999</v>
      </c>
      <c r="O67" s="156">
        <f t="shared" si="9"/>
        <v>518830064.68000001</v>
      </c>
      <c r="P67" s="156">
        <f t="shared" si="9"/>
        <v>0</v>
      </c>
      <c r="Q67" s="156">
        <f t="shared" si="9"/>
        <v>518830064.68000001</v>
      </c>
      <c r="R67" s="156">
        <f t="shared" si="9"/>
        <v>0</v>
      </c>
      <c r="S67" s="156">
        <f t="shared" si="9"/>
        <v>482096939.31000006</v>
      </c>
    </row>
    <row r="68" spans="1:19" s="139" customFormat="1" ht="15" customHeight="1" outlineLevel="2">
      <c r="A68" s="141">
        <v>557</v>
      </c>
      <c r="B68" s="141" t="s">
        <v>26</v>
      </c>
      <c r="C68" s="140" t="s">
        <v>153</v>
      </c>
      <c r="D68" s="142" t="s">
        <v>154</v>
      </c>
      <c r="E68" s="142" t="s">
        <v>155</v>
      </c>
      <c r="F68" s="142" t="s">
        <v>156</v>
      </c>
      <c r="G68" s="151">
        <f>VLOOKUP($E68,'4.เขตปรับKและเกลี่ยเงินเพิ่มฯ'!$E$16:$I$110,5,FALSE)</f>
        <v>1.05</v>
      </c>
      <c r="H68" s="151">
        <f>VLOOKUP($E68,'4.เขตปรับKและเกลี่ยเงินเพิ่มฯ'!$E$16:$AO$110,14,FALSE)</f>
        <v>138952141.65000001</v>
      </c>
      <c r="I68" s="151">
        <f>VLOOKUP($E68,'4.เขตปรับKและเกลี่ยเงินเพิ่มฯ'!$E$16:$AO$110,15,FALSE)</f>
        <v>27628100.370000001</v>
      </c>
      <c r="J68" s="151">
        <f>VLOOKUP($E68,'4.เขตปรับKและเกลี่ยเงินเพิ่มฯ'!$E$16:$AO$110,16,FALSE)+VLOOKUP($E68,'4.เขตปรับKและเกลี่ยเงินเพิ่มฯ'!$E$16:$AO$110,17,FALSE)+VLOOKUP($E68,'4.เขตปรับKและเกลี่ยเงินเพิ่มฯ'!$E$16:$AO$110,18,FALSE)+VLOOKUP($E68,'4.เขตปรับKและเกลี่ยเงินเพิ่มฯ'!$E$16:$AO$110,19,FALSE)</f>
        <v>527158229.67999995</v>
      </c>
      <c r="K68" s="151">
        <f>VLOOKUP($E68,'4.เขตปรับKและเกลี่ยเงินเพิ่มฯ'!$E$16:$X$110,20,FALSE)</f>
        <v>693738471.70000005</v>
      </c>
      <c r="L68" s="151">
        <f>VLOOKUP($E68,'4.เขตปรับKและเกลี่ยเงินเพิ่มฯ'!$E$16:$AO$110,21,FALSE)</f>
        <v>354616969</v>
      </c>
      <c r="M68" s="151">
        <f>VLOOKUP($E68,'4.เขตปรับKและเกลี่ยเงินเพิ่มฯ'!$E$16:$AO$110,22,FALSE)</f>
        <v>339121502.69999999</v>
      </c>
      <c r="N68" s="151">
        <f>VLOOKUP($E68,'4.เขตปรับKและเกลี่ยเงินเพิ่มฯ'!$E$16:$AA$110,23,FALSE)</f>
        <v>0</v>
      </c>
      <c r="O68" s="151">
        <f>VLOOKUP($E68,'4.เขตปรับKและเกลี่ยเงินเพิ่มฯ'!$E$16:$AB$110,24,FALSE)</f>
        <v>339121502.69999999</v>
      </c>
      <c r="P68" s="151">
        <f>VLOOKUP($E68,'4.เขตปรับKและเกลี่ยเงินเพิ่มฯ'!$E$16:$AM$110,35,FALSE)</f>
        <v>0</v>
      </c>
      <c r="Q68" s="151">
        <f t="shared" ref="Q68:Q85" si="10">ROUND(O68-P68,2)</f>
        <v>339121502.69999999</v>
      </c>
      <c r="R68" s="151">
        <f>VLOOKUP($E68,'4.เขตปรับKและเกลี่ยเงินเพิ่มฯ'!$E$16:$AI$110,31,FALSE)</f>
        <v>0</v>
      </c>
      <c r="S68" s="151">
        <f>VLOOKUP($E68,'4.เขตปรับKและเกลี่ยเงินเพิ่มฯ'!$E$16:$AH$110,30,FALSE)</f>
        <v>318658821.37</v>
      </c>
    </row>
    <row r="69" spans="1:19" s="139" customFormat="1" ht="15" customHeight="1" outlineLevel="2">
      <c r="A69" s="82">
        <v>558</v>
      </c>
      <c r="B69" s="82" t="s">
        <v>26</v>
      </c>
      <c r="C69" s="140" t="s">
        <v>153</v>
      </c>
      <c r="D69" s="140" t="s">
        <v>154</v>
      </c>
      <c r="E69" s="140" t="s">
        <v>157</v>
      </c>
      <c r="F69" s="140" t="s">
        <v>158</v>
      </c>
      <c r="G69" s="151">
        <f>VLOOKUP($E69,'4.เขตปรับKและเกลี่ยเงินเพิ่มฯ'!$E$16:$I$110,5,FALSE)</f>
        <v>1.25</v>
      </c>
      <c r="H69" s="151">
        <f>VLOOKUP($E69,'4.เขตปรับKและเกลี่ยเงินเพิ่มฯ'!$E$16:$AO$110,14,FALSE)</f>
        <v>49623099.299999997</v>
      </c>
      <c r="I69" s="151">
        <f>VLOOKUP($E69,'4.เขตปรับKและเกลี่ยเงินเพิ่มฯ'!$E$16:$AO$110,15,FALSE)</f>
        <v>9866648.6999999993</v>
      </c>
      <c r="J69" s="151">
        <f>VLOOKUP($E69,'4.เขตปรับKและเกลี่ยเงินเพิ่มฯ'!$E$16:$AO$110,16,FALSE)+VLOOKUP($E69,'4.เขตปรับKและเกลี่ยเงินเพิ่มฯ'!$E$16:$AO$110,17,FALSE)+VLOOKUP($E69,'4.เขตปรับKและเกลี่ยเงินเพิ่มฯ'!$E$16:$AO$110,18,FALSE)+VLOOKUP($E69,'4.เขตปรับKและเกลี่ยเงินเพิ่มฯ'!$E$16:$AO$110,19,FALSE)</f>
        <v>16203674.26</v>
      </c>
      <c r="K69" s="151">
        <f>VLOOKUP($E69,'4.เขตปรับKและเกลี่ยเงินเพิ่มฯ'!$E$16:$X$110,20,FALSE)</f>
        <v>75693422.260000005</v>
      </c>
      <c r="L69" s="151">
        <f>VLOOKUP($E69,'4.เขตปรับKและเกลี่ยเงินเพิ่มฯ'!$E$16:$AO$110,21,FALSE)</f>
        <v>28883024</v>
      </c>
      <c r="M69" s="151">
        <f>VLOOKUP($E69,'4.เขตปรับKและเกลี่ยเงินเพิ่มฯ'!$E$16:$AO$110,22,FALSE)</f>
        <v>46810398.259999998</v>
      </c>
      <c r="N69" s="151">
        <f>VLOOKUP($E69,'4.เขตปรับKและเกลี่ยเงินเพิ่มฯ'!$E$16:$AA$110,23,FALSE)</f>
        <v>0</v>
      </c>
      <c r="O69" s="151">
        <f>VLOOKUP($E69,'4.เขตปรับKและเกลี่ยเงินเพิ่มฯ'!$E$16:$AB$110,24,FALSE)</f>
        <v>46810398.259999998</v>
      </c>
      <c r="P69" s="151">
        <f>VLOOKUP($E69,'4.เขตปรับKและเกลี่ยเงินเพิ่มฯ'!$E$16:$AM$110,35,FALSE)</f>
        <v>0</v>
      </c>
      <c r="Q69" s="151">
        <f t="shared" si="10"/>
        <v>46810398.259999998</v>
      </c>
      <c r="R69" s="151">
        <f>VLOOKUP($E69,'4.เขตปรับKและเกลี่ยเงินเพิ่มฯ'!$E$16:$AI$110,31,FALSE)</f>
        <v>0</v>
      </c>
      <c r="S69" s="151">
        <f>VLOOKUP($E69,'4.เขตปรับKและเกลี่ยเงินเพิ่มฯ'!$E$16:$AH$110,30,FALSE)</f>
        <v>38583787.390000001</v>
      </c>
    </row>
    <row r="70" spans="1:19" s="139" customFormat="1" ht="15" customHeight="1" outlineLevel="2">
      <c r="A70" s="82">
        <v>559</v>
      </c>
      <c r="B70" s="82" t="s">
        <v>26</v>
      </c>
      <c r="C70" s="140" t="s">
        <v>153</v>
      </c>
      <c r="D70" s="140" t="s">
        <v>154</v>
      </c>
      <c r="E70" s="140" t="s">
        <v>159</v>
      </c>
      <c r="F70" s="140" t="s">
        <v>160</v>
      </c>
      <c r="G70" s="151">
        <f>VLOOKUP($E70,'4.เขตปรับKและเกลี่ยเงินเพิ่มฯ'!$E$16:$I$110,5,FALSE)</f>
        <v>1.3</v>
      </c>
      <c r="H70" s="151">
        <f>VLOOKUP($E70,'4.เขตปรับKและเกลี่ยเงินเพิ่มฯ'!$E$16:$AO$110,14,FALSE)</f>
        <v>35958795.640000001</v>
      </c>
      <c r="I70" s="151">
        <f>VLOOKUP($E70,'4.เขตปรับKและเกลี่ยเงินเพิ่มฯ'!$E$16:$AO$110,15,FALSE)</f>
        <v>7149751.0099999998</v>
      </c>
      <c r="J70" s="151">
        <f>VLOOKUP($E70,'4.เขตปรับKและเกลี่ยเงินเพิ่มฯ'!$E$16:$AO$110,16,FALSE)+VLOOKUP($E70,'4.เขตปรับKและเกลี่ยเงินเพิ่มฯ'!$E$16:$AO$110,17,FALSE)+VLOOKUP($E70,'4.เขตปรับKและเกลี่ยเงินเพิ่มฯ'!$E$16:$AO$110,18,FALSE)+VLOOKUP($E70,'4.เขตปรับKและเกลี่ยเงินเพิ่มฯ'!$E$16:$AO$110,19,FALSE)</f>
        <v>12735717.02</v>
      </c>
      <c r="K70" s="151">
        <f>VLOOKUP($E70,'4.เขตปรับKและเกลี่ยเงินเพิ่มฯ'!$E$16:$X$110,20,FALSE)</f>
        <v>55844263.670000002</v>
      </c>
      <c r="L70" s="151">
        <f>VLOOKUP($E70,'4.เขตปรับKและเกลี่ยเงินเพิ่มฯ'!$E$16:$AO$110,21,FALSE)</f>
        <v>26527934</v>
      </c>
      <c r="M70" s="151">
        <f>VLOOKUP($E70,'4.เขตปรับKและเกลี่ยเงินเพิ่มฯ'!$E$16:$AO$110,22,FALSE)</f>
        <v>29316329.670000002</v>
      </c>
      <c r="N70" s="151">
        <f>VLOOKUP($E70,'4.เขตปรับKและเกลี่ยเงินเพิ่มฯ'!$E$16:$AA$110,23,FALSE)</f>
        <v>0</v>
      </c>
      <c r="O70" s="151">
        <f>VLOOKUP($E70,'4.เขตปรับKและเกลี่ยเงินเพิ่มฯ'!$E$16:$AB$110,24,FALSE)</f>
        <v>29316329.670000002</v>
      </c>
      <c r="P70" s="151">
        <f>VLOOKUP($E70,'4.เขตปรับKและเกลี่ยเงินเพิ่มฯ'!$E$16:$AM$110,35,FALSE)</f>
        <v>0</v>
      </c>
      <c r="Q70" s="151">
        <f t="shared" si="10"/>
        <v>29316329.670000002</v>
      </c>
      <c r="R70" s="151">
        <f>VLOOKUP($E70,'4.เขตปรับKและเกลี่ยเงินเพิ่มฯ'!$E$16:$AI$110,31,FALSE)</f>
        <v>0</v>
      </c>
      <c r="S70" s="151">
        <f>VLOOKUP($E70,'4.เขตปรับKและเกลี่ยเงินเพิ่มฯ'!$E$16:$AH$110,30,FALSE)</f>
        <v>26222865.710000001</v>
      </c>
    </row>
    <row r="71" spans="1:19" s="139" customFormat="1" ht="15" customHeight="1" outlineLevel="2">
      <c r="A71" s="82">
        <v>560</v>
      </c>
      <c r="B71" s="82" t="s">
        <v>26</v>
      </c>
      <c r="C71" s="140" t="s">
        <v>153</v>
      </c>
      <c r="D71" s="140" t="s">
        <v>154</v>
      </c>
      <c r="E71" s="140" t="s">
        <v>161</v>
      </c>
      <c r="F71" s="140" t="s">
        <v>162</v>
      </c>
      <c r="G71" s="151">
        <f>VLOOKUP($E71,'4.เขตปรับKและเกลี่ยเงินเพิ่มฯ'!$E$16:$I$110,5,FALSE)</f>
        <v>1.1499999999999999</v>
      </c>
      <c r="H71" s="151">
        <f>VLOOKUP($E71,'4.เขตปรับKและเกลี่ยเงินเพิ่มฯ'!$E$16:$AO$110,14,FALSE)</f>
        <v>68045478.870000005</v>
      </c>
      <c r="I71" s="151">
        <f>VLOOKUP($E71,'4.เขตปรับKและเกลี่ยเงินเพิ่มฯ'!$E$16:$AO$110,15,FALSE)</f>
        <v>13529603.050000001</v>
      </c>
      <c r="J71" s="151">
        <f>VLOOKUP($E71,'4.เขตปรับKและเกลี่ยเงินเพิ่มฯ'!$E$16:$AO$110,16,FALSE)+VLOOKUP($E71,'4.เขตปรับKและเกลี่ยเงินเพิ่มฯ'!$E$16:$AO$110,17,FALSE)+VLOOKUP($E71,'4.เขตปรับKและเกลี่ยเงินเพิ่มฯ'!$E$16:$AO$110,18,FALSE)+VLOOKUP($E71,'4.เขตปรับKและเกลี่ยเงินเพิ่มฯ'!$E$16:$AO$110,19,FALSE)</f>
        <v>28651818.16</v>
      </c>
      <c r="K71" s="151">
        <f>VLOOKUP($E71,'4.เขตปรับKและเกลี่ยเงินเพิ่มฯ'!$E$16:$X$110,20,FALSE)</f>
        <v>110226900.08</v>
      </c>
      <c r="L71" s="151">
        <f>VLOOKUP($E71,'4.เขตปรับKและเกลี่ยเงินเพิ่มฯ'!$E$16:$AO$110,21,FALSE)</f>
        <v>59145686</v>
      </c>
      <c r="M71" s="151">
        <f>VLOOKUP($E71,'4.เขตปรับKและเกลี่ยเงินเพิ่มฯ'!$E$16:$AO$110,22,FALSE)</f>
        <v>51081214.079999998</v>
      </c>
      <c r="N71" s="151">
        <f>VLOOKUP($E71,'4.เขตปรับKและเกลี่ยเงินเพิ่มฯ'!$E$16:$AA$110,23,FALSE)</f>
        <v>0</v>
      </c>
      <c r="O71" s="151">
        <f>VLOOKUP($E71,'4.เขตปรับKและเกลี่ยเงินเพิ่มฯ'!$E$16:$AB$110,24,FALSE)</f>
        <v>51081214.079999998</v>
      </c>
      <c r="P71" s="151">
        <f>VLOOKUP($E71,'4.เขตปรับKและเกลี่ยเงินเพิ่มฯ'!$E$16:$AM$110,35,FALSE)</f>
        <v>0</v>
      </c>
      <c r="Q71" s="151">
        <f t="shared" si="10"/>
        <v>51081214.079999998</v>
      </c>
      <c r="R71" s="151">
        <f>VLOOKUP($E71,'4.เขตปรับKและเกลี่ยเงินเพิ่มฯ'!$E$16:$AI$110,31,FALSE)</f>
        <v>0</v>
      </c>
      <c r="S71" s="151">
        <f>VLOOKUP($E71,'4.เขตปรับKและเกลี่ยเงินเพิ่มฯ'!$E$16:$AH$110,30,FALSE)</f>
        <v>46557767.060000002</v>
      </c>
    </row>
    <row r="72" spans="1:19" s="139" customFormat="1" ht="15" customHeight="1" outlineLevel="2">
      <c r="A72" s="82">
        <v>561</v>
      </c>
      <c r="B72" s="82" t="s">
        <v>26</v>
      </c>
      <c r="C72" s="140" t="s">
        <v>153</v>
      </c>
      <c r="D72" s="140" t="s">
        <v>154</v>
      </c>
      <c r="E72" s="140" t="s">
        <v>163</v>
      </c>
      <c r="F72" s="140" t="s">
        <v>164</v>
      </c>
      <c r="G72" s="151">
        <f>VLOOKUP($E72,'4.เขตปรับKและเกลี่ยเงินเพิ่มฯ'!$E$16:$I$110,5,FALSE)</f>
        <v>1.1499999999999999</v>
      </c>
      <c r="H72" s="151">
        <f>VLOOKUP($E72,'4.เขตปรับKและเกลี่ยเงินเพิ่มฯ'!$E$16:$AO$110,14,FALSE)</f>
        <v>52842738.869999997</v>
      </c>
      <c r="I72" s="151">
        <f>VLOOKUP($E72,'4.เขตปรับKและเกลี่ยเงินเพิ่มฯ'!$E$16:$AO$110,15,FALSE)</f>
        <v>10506815.34</v>
      </c>
      <c r="J72" s="151">
        <f>VLOOKUP($E72,'4.เขตปรับKและเกลี่ยเงินเพิ่มฯ'!$E$16:$AO$110,16,FALSE)+VLOOKUP($E72,'4.เขตปรับKและเกลี่ยเงินเพิ่มฯ'!$E$16:$AO$110,17,FALSE)+VLOOKUP($E72,'4.เขตปรับKและเกลี่ยเงินเพิ่มฯ'!$E$16:$AO$110,18,FALSE)+VLOOKUP($E72,'4.เขตปรับKและเกลี่ยเงินเพิ่มฯ'!$E$16:$AO$110,19,FALSE)</f>
        <v>33464793.219999999</v>
      </c>
      <c r="K72" s="151">
        <f>VLOOKUP($E72,'4.เขตปรับKและเกลี่ยเงินเพิ่มฯ'!$E$16:$X$110,20,FALSE)</f>
        <v>96814347.429999992</v>
      </c>
      <c r="L72" s="151">
        <f>VLOOKUP($E72,'4.เขตปรับKและเกลี่ยเงินเพิ่มฯ'!$E$16:$AO$110,21,FALSE)</f>
        <v>51742773</v>
      </c>
      <c r="M72" s="151">
        <f>VLOOKUP($E72,'4.เขตปรับKและเกลี่ยเงินเพิ่มฯ'!$E$16:$AO$110,22,FALSE)</f>
        <v>45071574.43</v>
      </c>
      <c r="N72" s="151">
        <f>VLOOKUP($E72,'4.เขตปรับKและเกลี่ยเงินเพิ่มฯ'!$E$16:$AA$110,23,FALSE)</f>
        <v>0</v>
      </c>
      <c r="O72" s="151">
        <f>VLOOKUP($E72,'4.เขตปรับKและเกลี่ยเงินเพิ่มฯ'!$E$16:$AB$110,24,FALSE)</f>
        <v>45071574.43</v>
      </c>
      <c r="P72" s="151">
        <f>VLOOKUP($E72,'4.เขตปรับKและเกลี่ยเงินเพิ่มฯ'!$E$16:$AM$110,35,FALSE)</f>
        <v>0</v>
      </c>
      <c r="Q72" s="151">
        <f t="shared" si="10"/>
        <v>45071574.43</v>
      </c>
      <c r="R72" s="151">
        <f>VLOOKUP($E72,'4.เขตปรับKและเกลี่ยเงินเพิ่มฯ'!$E$16:$AI$110,31,FALSE)</f>
        <v>0</v>
      </c>
      <c r="S72" s="151">
        <f>VLOOKUP($E72,'4.เขตปรับKและเกลี่ยเงินเพิ่มฯ'!$E$16:$AH$110,30,FALSE)</f>
        <v>37817459.689999998</v>
      </c>
    </row>
    <row r="73" spans="1:19" s="139" customFormat="1" ht="15" customHeight="1" outlineLevel="2">
      <c r="A73" s="82">
        <v>562</v>
      </c>
      <c r="B73" s="82" t="s">
        <v>26</v>
      </c>
      <c r="C73" s="140" t="s">
        <v>153</v>
      </c>
      <c r="D73" s="140" t="s">
        <v>154</v>
      </c>
      <c r="E73" s="140" t="s">
        <v>165</v>
      </c>
      <c r="F73" s="140" t="s">
        <v>166</v>
      </c>
      <c r="G73" s="151">
        <f>VLOOKUP($E73,'4.เขตปรับKและเกลี่ยเงินเพิ่มฯ'!$E$16:$I$110,5,FALSE)</f>
        <v>1.25</v>
      </c>
      <c r="H73" s="151">
        <f>VLOOKUP($E73,'4.เขตปรับKและเกลี่ยเงินเพิ่มฯ'!$E$16:$AO$110,14,FALSE)</f>
        <v>51384828.68</v>
      </c>
      <c r="I73" s="151">
        <f>VLOOKUP($E73,'4.เขตปรับKและเกลี่ยเงินเพิ่มฯ'!$E$16:$AO$110,15,FALSE)</f>
        <v>10216936.470000001</v>
      </c>
      <c r="J73" s="151">
        <f>VLOOKUP($E73,'4.เขตปรับKและเกลี่ยเงินเพิ่มฯ'!$E$16:$AO$110,16,FALSE)+VLOOKUP($E73,'4.เขตปรับKและเกลี่ยเงินเพิ่มฯ'!$E$16:$AO$110,17,FALSE)+VLOOKUP($E73,'4.เขตปรับKและเกลี่ยเงินเพิ่มฯ'!$E$16:$AO$110,18,FALSE)+VLOOKUP($E73,'4.เขตปรับKและเกลี่ยเงินเพิ่มฯ'!$E$16:$AO$110,19,FALSE)</f>
        <v>11745339.75</v>
      </c>
      <c r="K73" s="151">
        <f>VLOOKUP($E73,'4.เขตปรับKและเกลี่ยเงินเพิ่มฯ'!$E$16:$X$110,20,FALSE)</f>
        <v>73347104.900000006</v>
      </c>
      <c r="L73" s="151">
        <f>VLOOKUP($E73,'4.เขตปรับKและเกลี่ยเงินเพิ่มฯ'!$E$16:$AO$110,21,FALSE)</f>
        <v>32460579</v>
      </c>
      <c r="M73" s="151">
        <f>VLOOKUP($E73,'4.เขตปรับKและเกลี่ยเงินเพิ่มฯ'!$E$16:$AO$110,22,FALSE)</f>
        <v>40886525.899999999</v>
      </c>
      <c r="N73" s="151">
        <f>VLOOKUP($E73,'4.เขตปรับKและเกลี่ยเงินเพิ่มฯ'!$E$16:$AA$110,23,FALSE)</f>
        <v>0</v>
      </c>
      <c r="O73" s="151">
        <f>VLOOKUP($E73,'4.เขตปรับKและเกลี่ยเงินเพิ่มฯ'!$E$16:$AB$110,24,FALSE)</f>
        <v>40886525.899999999</v>
      </c>
      <c r="P73" s="151">
        <f>VLOOKUP($E73,'4.เขตปรับKและเกลี่ยเงินเพิ่มฯ'!$E$16:$AM$110,35,FALSE)</f>
        <v>0</v>
      </c>
      <c r="Q73" s="151">
        <f t="shared" si="10"/>
        <v>40886525.899999999</v>
      </c>
      <c r="R73" s="151">
        <f>VLOOKUP($E73,'4.เขตปรับKและเกลี่ยเงินเพิ่มฯ'!$E$16:$AI$110,31,FALSE)</f>
        <v>0</v>
      </c>
      <c r="S73" s="151">
        <f>VLOOKUP($E73,'4.เขตปรับKและเกลี่ยเงินเพิ่มฯ'!$E$16:$AH$110,30,FALSE)</f>
        <v>34441540.689999998</v>
      </c>
    </row>
    <row r="74" spans="1:19" s="139" customFormat="1" ht="15" customHeight="1" outlineLevel="2">
      <c r="A74" s="82">
        <v>563</v>
      </c>
      <c r="B74" s="82" t="s">
        <v>26</v>
      </c>
      <c r="C74" s="140" t="s">
        <v>153</v>
      </c>
      <c r="D74" s="140" t="s">
        <v>154</v>
      </c>
      <c r="E74" s="140" t="s">
        <v>167</v>
      </c>
      <c r="F74" s="140" t="s">
        <v>168</v>
      </c>
      <c r="G74" s="151">
        <f>VLOOKUP($E74,'4.เขตปรับKและเกลี่ยเงินเพิ่มฯ'!$E$16:$I$110,5,FALSE)</f>
        <v>1.35</v>
      </c>
      <c r="H74" s="151">
        <f>VLOOKUP($E74,'4.เขตปรับKและเกลี่ยเงินเพิ่มฯ'!$E$16:$AO$110,14,FALSE)</f>
        <v>17860630.530000001</v>
      </c>
      <c r="I74" s="151">
        <f>VLOOKUP($E74,'4.เขตปรับKและเกลี่ยเงินเพิ่มฯ'!$E$16:$AO$110,15,FALSE)</f>
        <v>3551260.8</v>
      </c>
      <c r="J74" s="151">
        <f>VLOOKUP($E74,'4.เขตปรับKและเกลี่ยเงินเพิ่มฯ'!$E$16:$AO$110,16,FALSE)+VLOOKUP($E74,'4.เขตปรับKและเกลี่ยเงินเพิ่มฯ'!$E$16:$AO$110,17,FALSE)+VLOOKUP($E74,'4.เขตปรับKและเกลี่ยเงินเพิ่มฯ'!$E$16:$AO$110,18,FALSE)+VLOOKUP($E74,'4.เขตปรับKและเกลี่ยเงินเพิ่มฯ'!$E$16:$AO$110,19,FALSE)</f>
        <v>4015233.52</v>
      </c>
      <c r="K74" s="151">
        <f>VLOOKUP($E74,'4.เขตปรับKและเกลี่ยเงินเพิ่มฯ'!$E$16:$X$110,20,FALSE)</f>
        <v>25427124.850000001</v>
      </c>
      <c r="L74" s="151">
        <f>VLOOKUP($E74,'4.เขตปรับKและเกลี่ยเงินเพิ่มฯ'!$E$16:$AO$110,21,FALSE)</f>
        <v>15663319</v>
      </c>
      <c r="M74" s="151">
        <f>VLOOKUP($E74,'4.เขตปรับKและเกลี่ยเงินเพิ่มฯ'!$E$16:$AO$110,22,FALSE)</f>
        <v>9763805.8499999996</v>
      </c>
      <c r="N74" s="151">
        <f>VLOOKUP($E74,'4.เขตปรับKและเกลี่ยเงินเพิ่มฯ'!$E$16:$AA$110,23,FALSE)</f>
        <v>3325347.97</v>
      </c>
      <c r="O74" s="151">
        <f>VLOOKUP($E74,'4.เขตปรับKและเกลี่ยเงินเพิ่มฯ'!$E$16:$AB$110,24,FALSE)</f>
        <v>13089153.82</v>
      </c>
      <c r="P74" s="151">
        <f>VLOOKUP($E74,'4.เขตปรับKและเกลี่ยเงินเพิ่มฯ'!$E$16:$AM$110,35,FALSE)</f>
        <v>0</v>
      </c>
      <c r="Q74" s="151">
        <f t="shared" si="10"/>
        <v>13089153.82</v>
      </c>
      <c r="R74" s="151">
        <f>VLOOKUP($E74,'4.เขตปรับKและเกลี่ยเงินเพิ่มฯ'!$E$16:$AI$110,31,FALSE)</f>
        <v>0</v>
      </c>
      <c r="S74" s="151">
        <f>VLOOKUP($E74,'4.เขตปรับKและเกลี่ยเงินเพิ่มฯ'!$E$16:$AH$110,30,FALSE)</f>
        <v>13089153.82</v>
      </c>
    </row>
    <row r="75" spans="1:19" s="139" customFormat="1" ht="15" customHeight="1" outlineLevel="2">
      <c r="A75" s="82">
        <v>564</v>
      </c>
      <c r="B75" s="82" t="s">
        <v>26</v>
      </c>
      <c r="C75" s="140" t="s">
        <v>153</v>
      </c>
      <c r="D75" s="140" t="s">
        <v>154</v>
      </c>
      <c r="E75" s="140" t="s">
        <v>169</v>
      </c>
      <c r="F75" s="140" t="s">
        <v>170</v>
      </c>
      <c r="G75" s="151">
        <f>VLOOKUP($E75,'4.เขตปรับKและเกลี่ยเงินเพิ่มฯ'!$E$16:$I$110,5,FALSE)</f>
        <v>1.1499999999999999</v>
      </c>
      <c r="H75" s="151">
        <f>VLOOKUP($E75,'4.เขตปรับKและเกลี่ยเงินเพิ่มฯ'!$E$16:$AO$110,14,FALSE)</f>
        <v>99541754.200000003</v>
      </c>
      <c r="I75" s="151">
        <f>VLOOKUP($E75,'4.เขตปรับKและเกลี่ยเงินเพิ่มฯ'!$E$16:$AO$110,15,FALSE)</f>
        <v>19792063.25</v>
      </c>
      <c r="J75" s="151">
        <f>VLOOKUP($E75,'4.เขตปรับKและเกลี่ยเงินเพิ่มฯ'!$E$16:$AO$110,16,FALSE)+VLOOKUP($E75,'4.เขตปรับKและเกลี่ยเงินเพิ่มฯ'!$E$16:$AO$110,17,FALSE)+VLOOKUP($E75,'4.เขตปรับKและเกลี่ยเงินเพิ่มฯ'!$E$16:$AO$110,18,FALSE)+VLOOKUP($E75,'4.เขตปรับKและเกลี่ยเงินเพิ่มฯ'!$E$16:$AO$110,19,FALSE)</f>
        <v>86365977.609999999</v>
      </c>
      <c r="K75" s="151">
        <f>VLOOKUP($E75,'4.เขตปรับKและเกลี่ยเงินเพิ่มฯ'!$E$16:$X$110,20,FALSE)</f>
        <v>205699795.06</v>
      </c>
      <c r="L75" s="151">
        <f>VLOOKUP($E75,'4.เขตปรับKและเกลี่ยเงินเพิ่มฯ'!$E$16:$AO$110,21,FALSE)</f>
        <v>80744719</v>
      </c>
      <c r="M75" s="151">
        <f>VLOOKUP($E75,'4.เขตปรับKและเกลี่ยเงินเพิ่มฯ'!$E$16:$AO$110,22,FALSE)</f>
        <v>124955076.06</v>
      </c>
      <c r="N75" s="151">
        <f>VLOOKUP($E75,'4.เขตปรับKและเกลี่ยเงินเพิ่มฯ'!$E$16:$AA$110,23,FALSE)</f>
        <v>0</v>
      </c>
      <c r="O75" s="151">
        <f>VLOOKUP($E75,'4.เขตปรับKและเกลี่ยเงินเพิ่มฯ'!$E$16:$AB$110,24,FALSE)</f>
        <v>124955076.06</v>
      </c>
      <c r="P75" s="151">
        <f>VLOOKUP($E75,'4.เขตปรับKและเกลี่ยเงินเพิ่มฯ'!$E$16:$AM$110,35,FALSE)</f>
        <v>0</v>
      </c>
      <c r="Q75" s="151">
        <f t="shared" si="10"/>
        <v>124955076.06</v>
      </c>
      <c r="R75" s="151">
        <f>VLOOKUP($E75,'4.เขตปรับKและเกลี่ยเงินเพิ่มฯ'!$E$16:$AI$110,31,FALSE)</f>
        <v>0</v>
      </c>
      <c r="S75" s="151">
        <f>VLOOKUP($E75,'4.เขตปรับKและเกลี่ยเงินเพิ่มฯ'!$E$16:$AH$110,30,FALSE)</f>
        <v>111290828.27</v>
      </c>
    </row>
    <row r="76" spans="1:19" s="139" customFormat="1" ht="15" customHeight="1" outlineLevel="2">
      <c r="A76" s="82">
        <v>565</v>
      </c>
      <c r="B76" s="82" t="s">
        <v>26</v>
      </c>
      <c r="C76" s="140" t="s">
        <v>153</v>
      </c>
      <c r="D76" s="140" t="s">
        <v>154</v>
      </c>
      <c r="E76" s="140" t="s">
        <v>171</v>
      </c>
      <c r="F76" s="140" t="s">
        <v>172</v>
      </c>
      <c r="G76" s="151">
        <f>VLOOKUP($E76,'4.เขตปรับKและเกลี่ยเงินเพิ่มฯ'!$E$16:$I$110,5,FALSE)</f>
        <v>1.25</v>
      </c>
      <c r="H76" s="151">
        <f>VLOOKUP($E76,'4.เขตปรับKและเกลี่ยเงินเพิ่มฯ'!$E$16:$AO$110,14,FALSE)</f>
        <v>43961301.93</v>
      </c>
      <c r="I76" s="151">
        <f>VLOOKUP($E76,'4.เขตปรับKและเกลี่ยเงินเพิ่มฯ'!$E$16:$AO$110,15,FALSE)</f>
        <v>8740903.5099999998</v>
      </c>
      <c r="J76" s="151">
        <f>VLOOKUP($E76,'4.เขตปรับKและเกลี่ยเงินเพิ่มฯ'!$E$16:$AO$110,16,FALSE)+VLOOKUP($E76,'4.เขตปรับKและเกลี่ยเงินเพิ่มฯ'!$E$16:$AO$110,17,FALSE)+VLOOKUP($E76,'4.เขตปรับKและเกลี่ยเงินเพิ่มฯ'!$E$16:$AO$110,18,FALSE)+VLOOKUP($E76,'4.เขตปรับKและเกลี่ยเงินเพิ่มฯ'!$E$16:$AO$110,19,FALSE)</f>
        <v>14164512.860000001</v>
      </c>
      <c r="K76" s="151">
        <f>VLOOKUP($E76,'4.เขตปรับKและเกลี่ยเงินเพิ่มฯ'!$E$16:$X$110,20,FALSE)</f>
        <v>66866718.300000004</v>
      </c>
      <c r="L76" s="151">
        <f>VLOOKUP($E76,'4.เขตปรับKและเกลี่ยเงินเพิ่มฯ'!$E$16:$AO$110,21,FALSE)</f>
        <v>27970957</v>
      </c>
      <c r="M76" s="151">
        <f>VLOOKUP($E76,'4.เขตปรับKและเกลี่ยเงินเพิ่มฯ'!$E$16:$AO$110,22,FALSE)</f>
        <v>38895761.299999997</v>
      </c>
      <c r="N76" s="151">
        <f>VLOOKUP($E76,'4.เขตปรับKและเกลี่ยเงินเพิ่มฯ'!$E$16:$AA$110,23,FALSE)</f>
        <v>0</v>
      </c>
      <c r="O76" s="151">
        <f>VLOOKUP($E76,'4.เขตปรับKและเกลี่ยเงินเพิ่มฯ'!$E$16:$AB$110,24,FALSE)</f>
        <v>38895761.299999997</v>
      </c>
      <c r="P76" s="151">
        <f>VLOOKUP($E76,'4.เขตปรับKและเกลี่ยเงินเพิ่มฯ'!$E$16:$AM$110,35,FALSE)</f>
        <v>0</v>
      </c>
      <c r="Q76" s="151">
        <f t="shared" si="10"/>
        <v>38895761.299999997</v>
      </c>
      <c r="R76" s="151">
        <f>VLOOKUP($E76,'4.เขตปรับKและเกลี่ยเงินเพิ่มฯ'!$E$16:$AI$110,31,FALSE)</f>
        <v>0</v>
      </c>
      <c r="S76" s="151">
        <f>VLOOKUP($E76,'4.เขตปรับKและเกลี่ยเงินเพิ่มฯ'!$E$16:$AH$110,30,FALSE)</f>
        <v>33654504.509999998</v>
      </c>
    </row>
    <row r="77" spans="1:19" s="139" customFormat="1" ht="15" customHeight="1" outlineLevel="2">
      <c r="A77" s="82">
        <v>566</v>
      </c>
      <c r="B77" s="82" t="s">
        <v>26</v>
      </c>
      <c r="C77" s="140" t="s">
        <v>153</v>
      </c>
      <c r="D77" s="140" t="s">
        <v>154</v>
      </c>
      <c r="E77" s="140" t="s">
        <v>173</v>
      </c>
      <c r="F77" s="140" t="s">
        <v>174</v>
      </c>
      <c r="G77" s="151">
        <f>VLOOKUP($E77,'4.เขตปรับKและเกลี่ยเงินเพิ่มฯ'!$E$16:$I$110,5,FALSE)</f>
        <v>1.1499999999999999</v>
      </c>
      <c r="H77" s="151">
        <f>VLOOKUP($E77,'4.เขตปรับKและเกลี่ยเงินเพิ่มฯ'!$E$16:$AO$110,14,FALSE)</f>
        <v>66005951.840000004</v>
      </c>
      <c r="I77" s="151">
        <f>VLOOKUP($E77,'4.เขตปรับKและเกลี่ยเงินเพิ่มฯ'!$E$16:$AO$110,15,FALSE)</f>
        <v>13124080.279999999</v>
      </c>
      <c r="J77" s="151">
        <f>VLOOKUP($E77,'4.เขตปรับKและเกลี่ยเงินเพิ่มฯ'!$E$16:$AO$110,16,FALSE)+VLOOKUP($E77,'4.เขตปรับKและเกลี่ยเงินเพิ่มฯ'!$E$16:$AO$110,17,FALSE)+VLOOKUP($E77,'4.เขตปรับKและเกลี่ยเงินเพิ่มฯ'!$E$16:$AO$110,18,FALSE)+VLOOKUP($E77,'4.เขตปรับKและเกลี่ยเงินเพิ่มฯ'!$E$16:$AO$110,19,FALSE)</f>
        <v>24862979.449999999</v>
      </c>
      <c r="K77" s="151">
        <f>VLOOKUP($E77,'4.เขตปรับKและเกลี่ยเงินเพิ่มฯ'!$E$16:$X$110,20,FALSE)</f>
        <v>103993011.57000001</v>
      </c>
      <c r="L77" s="151">
        <f>VLOOKUP($E77,'4.เขตปรับKและเกลี่ยเงินเพิ่มฯ'!$E$16:$AO$110,21,FALSE)</f>
        <v>44923756</v>
      </c>
      <c r="M77" s="151">
        <f>VLOOKUP($E77,'4.เขตปรับKและเกลี่ยเงินเพิ่มฯ'!$E$16:$AO$110,22,FALSE)</f>
        <v>59069255.57</v>
      </c>
      <c r="N77" s="151">
        <f>VLOOKUP($E77,'4.เขตปรับKและเกลี่ยเงินเพิ่มฯ'!$E$16:$AA$110,23,FALSE)</f>
        <v>0</v>
      </c>
      <c r="O77" s="151">
        <f>VLOOKUP($E77,'4.เขตปรับKและเกลี่ยเงินเพิ่มฯ'!$E$16:$AB$110,24,FALSE)</f>
        <v>59069255.57</v>
      </c>
      <c r="P77" s="151">
        <f>VLOOKUP($E77,'4.เขตปรับKและเกลี่ยเงินเพิ่มฯ'!$E$16:$AM$110,35,FALSE)</f>
        <v>0</v>
      </c>
      <c r="Q77" s="151">
        <f t="shared" si="10"/>
        <v>59069255.57</v>
      </c>
      <c r="R77" s="151">
        <f>VLOOKUP($E77,'4.เขตปรับKและเกลี่ยเงินเพิ่มฯ'!$E$16:$AI$110,31,FALSE)</f>
        <v>0</v>
      </c>
      <c r="S77" s="151">
        <f>VLOOKUP($E77,'4.เขตปรับKและเกลี่ยเงินเพิ่มฯ'!$E$16:$AH$110,30,FALSE)</f>
        <v>57250574.009999998</v>
      </c>
    </row>
    <row r="78" spans="1:19" s="139" customFormat="1" ht="15" customHeight="1" outlineLevel="2">
      <c r="A78" s="82">
        <v>567</v>
      </c>
      <c r="B78" s="82" t="s">
        <v>26</v>
      </c>
      <c r="C78" s="140" t="s">
        <v>153</v>
      </c>
      <c r="D78" s="140" t="s">
        <v>154</v>
      </c>
      <c r="E78" s="140" t="s">
        <v>175</v>
      </c>
      <c r="F78" s="140" t="s">
        <v>176</v>
      </c>
      <c r="G78" s="151">
        <f>VLOOKUP($E78,'4.เขตปรับKและเกลี่ยเงินเพิ่มฯ'!$E$16:$I$110,5,FALSE)</f>
        <v>1.1499999999999999</v>
      </c>
      <c r="H78" s="151">
        <f>VLOOKUP($E78,'4.เขตปรับKและเกลี่ยเงินเพิ่มฯ'!$E$16:$AO$110,14,FALSE)</f>
        <v>66490339.509999998</v>
      </c>
      <c r="I78" s="151">
        <f>VLOOKUP($E78,'4.เขตปรับKและเกลี่ยเงินเพิ่มฯ'!$E$16:$AO$110,15,FALSE)</f>
        <v>13220391.939999999</v>
      </c>
      <c r="J78" s="151">
        <f>VLOOKUP($E78,'4.เขตปรับKและเกลี่ยเงินเพิ่มฯ'!$E$16:$AO$110,16,FALSE)+VLOOKUP($E78,'4.เขตปรับKและเกลี่ยเงินเพิ่มฯ'!$E$16:$AO$110,17,FALSE)+VLOOKUP($E78,'4.เขตปรับKและเกลี่ยเงินเพิ่มฯ'!$E$16:$AO$110,18,FALSE)+VLOOKUP($E78,'4.เขตปรับKและเกลี่ยเงินเพิ่มฯ'!$E$16:$AO$110,19,FALSE)</f>
        <v>33896317.5</v>
      </c>
      <c r="K78" s="151">
        <f>VLOOKUP($E78,'4.เขตปรับKและเกลี่ยเงินเพิ่มฯ'!$E$16:$X$110,20,FALSE)</f>
        <v>113607048.95</v>
      </c>
      <c r="L78" s="151">
        <f>VLOOKUP($E78,'4.เขตปรับKและเกลี่ยเงินเพิ่มฯ'!$E$16:$AO$110,21,FALSE)</f>
        <v>56917627</v>
      </c>
      <c r="M78" s="151">
        <f>VLOOKUP($E78,'4.เขตปรับKและเกลี่ยเงินเพิ่มฯ'!$E$16:$AO$110,22,FALSE)</f>
        <v>56689421.950000003</v>
      </c>
      <c r="N78" s="151">
        <f>VLOOKUP($E78,'4.เขตปรับKและเกลี่ยเงินเพิ่มฯ'!$E$16:$AA$110,23,FALSE)</f>
        <v>0</v>
      </c>
      <c r="O78" s="151">
        <f>VLOOKUP($E78,'4.เขตปรับKและเกลี่ยเงินเพิ่มฯ'!$E$16:$AB$110,24,FALSE)</f>
        <v>56689421.950000003</v>
      </c>
      <c r="P78" s="151">
        <f>VLOOKUP($E78,'4.เขตปรับKและเกลี่ยเงินเพิ่มฯ'!$E$16:$AM$110,35,FALSE)</f>
        <v>0</v>
      </c>
      <c r="Q78" s="151">
        <f t="shared" si="10"/>
        <v>56689421.950000003</v>
      </c>
      <c r="R78" s="151">
        <f>VLOOKUP($E78,'4.เขตปรับKและเกลี่ยเงินเพิ่มฯ'!$E$16:$AI$110,31,FALSE)</f>
        <v>0</v>
      </c>
      <c r="S78" s="151">
        <f>VLOOKUP($E78,'4.เขตปรับKและเกลี่ยเงินเพิ่มฯ'!$E$16:$AH$110,30,FALSE)</f>
        <v>53752078.210000001</v>
      </c>
    </row>
    <row r="79" spans="1:19" s="139" customFormat="1" ht="15" customHeight="1" outlineLevel="2">
      <c r="A79" s="82">
        <v>568</v>
      </c>
      <c r="B79" s="82" t="s">
        <v>26</v>
      </c>
      <c r="C79" s="140" t="s">
        <v>153</v>
      </c>
      <c r="D79" s="140" t="s">
        <v>154</v>
      </c>
      <c r="E79" s="140" t="s">
        <v>177</v>
      </c>
      <c r="F79" s="140" t="s">
        <v>178</v>
      </c>
      <c r="G79" s="151">
        <f>VLOOKUP($E79,'4.เขตปรับKและเกลี่ยเงินเพิ่มฯ'!$E$16:$I$110,5,FALSE)</f>
        <v>1.3</v>
      </c>
      <c r="H79" s="151">
        <f>VLOOKUP($E79,'4.เขตปรับKและเกลี่ยเงินเพิ่มฯ'!$E$16:$AO$110,14,FALSE)</f>
        <v>38956900.380000003</v>
      </c>
      <c r="I79" s="151">
        <f>VLOOKUP($E79,'4.เขตปรับKและเกลี่ยเงินเพิ่มฯ'!$E$16:$AO$110,15,FALSE)</f>
        <v>7745869.4800000004</v>
      </c>
      <c r="J79" s="151">
        <f>VLOOKUP($E79,'4.เขตปรับKและเกลี่ยเงินเพิ่มฯ'!$E$16:$AO$110,16,FALSE)+VLOOKUP($E79,'4.เขตปรับKและเกลี่ยเงินเพิ่มฯ'!$E$16:$AO$110,17,FALSE)+VLOOKUP($E79,'4.เขตปรับKและเกลี่ยเงินเพิ่มฯ'!$E$16:$AO$110,18,FALSE)+VLOOKUP($E79,'4.เขตปรับKและเกลี่ยเงินเพิ่มฯ'!$E$16:$AO$110,19,FALSE)</f>
        <v>13895874.93</v>
      </c>
      <c r="K79" s="151">
        <f>VLOOKUP($E79,'4.เขตปรับKและเกลี่ยเงินเพิ่มฯ'!$E$16:$X$110,20,FALSE)</f>
        <v>60598644.789999999</v>
      </c>
      <c r="L79" s="151">
        <f>VLOOKUP($E79,'4.เขตปรับKและเกลี่ยเงินเพิ่มฯ'!$E$16:$AO$110,21,FALSE)</f>
        <v>25662941</v>
      </c>
      <c r="M79" s="151">
        <f>VLOOKUP($E79,'4.เขตปรับKและเกลี่ยเงินเพิ่มฯ'!$E$16:$AO$110,22,FALSE)</f>
        <v>34935703.789999999</v>
      </c>
      <c r="N79" s="151">
        <f>VLOOKUP($E79,'4.เขตปรับKและเกลี่ยเงินเพิ่มฯ'!$E$16:$AA$110,23,FALSE)</f>
        <v>0</v>
      </c>
      <c r="O79" s="151">
        <f>VLOOKUP($E79,'4.เขตปรับKและเกลี่ยเงินเพิ่มฯ'!$E$16:$AB$110,24,FALSE)</f>
        <v>34935703.789999999</v>
      </c>
      <c r="P79" s="151">
        <f>VLOOKUP($E79,'4.เขตปรับKและเกลี่ยเงินเพิ่มฯ'!$E$16:$AM$110,35,FALSE)</f>
        <v>0</v>
      </c>
      <c r="Q79" s="151">
        <f t="shared" si="10"/>
        <v>34935703.789999999</v>
      </c>
      <c r="R79" s="151">
        <f>VLOOKUP($E79,'4.เขตปรับKและเกลี่ยเงินเพิ่มฯ'!$E$16:$AI$110,31,FALSE)</f>
        <v>0</v>
      </c>
      <c r="S79" s="151">
        <f>VLOOKUP($E79,'4.เขตปรับKและเกลี่ยเงินเพิ่มฯ'!$E$16:$AH$110,30,FALSE)</f>
        <v>31443744.23</v>
      </c>
    </row>
    <row r="80" spans="1:19" s="139" customFormat="1" ht="15" customHeight="1" outlineLevel="2">
      <c r="A80" s="82">
        <v>569</v>
      </c>
      <c r="B80" s="82" t="s">
        <v>26</v>
      </c>
      <c r="C80" s="140" t="s">
        <v>153</v>
      </c>
      <c r="D80" s="140" t="s">
        <v>154</v>
      </c>
      <c r="E80" s="140" t="s">
        <v>179</v>
      </c>
      <c r="F80" s="140" t="s">
        <v>180</v>
      </c>
      <c r="G80" s="151">
        <f>VLOOKUP($E80,'4.เขตปรับKและเกลี่ยเงินเพิ่มฯ'!$E$16:$I$110,5,FALSE)</f>
        <v>1.35</v>
      </c>
      <c r="H80" s="151">
        <f>VLOOKUP($E80,'4.เขตปรับKและเกลี่ยเงินเพิ่มฯ'!$E$16:$AO$110,14,FALSE)</f>
        <v>27938707.219999999</v>
      </c>
      <c r="I80" s="151">
        <f>VLOOKUP($E80,'4.เขตปรับKและเกลี่ยเงินเพิ่มฯ'!$E$16:$AO$110,15,FALSE)</f>
        <v>5555102.6299999999</v>
      </c>
      <c r="J80" s="151">
        <f>VLOOKUP($E80,'4.เขตปรับKและเกลี่ยเงินเพิ่มฯ'!$E$16:$AO$110,16,FALSE)+VLOOKUP($E80,'4.เขตปรับKและเกลี่ยเงินเพิ่มฯ'!$E$16:$AO$110,17,FALSE)+VLOOKUP($E80,'4.เขตปรับKและเกลี่ยเงินเพิ่มฯ'!$E$16:$AO$110,18,FALSE)+VLOOKUP($E80,'4.เขตปรับKและเกลี่ยเงินเพิ่มฯ'!$E$16:$AO$110,19,FALSE)</f>
        <v>11300954.24</v>
      </c>
      <c r="K80" s="151">
        <f>VLOOKUP($E80,'4.เขตปรับKและเกลี่ยเงินเพิ่มฯ'!$E$16:$X$110,20,FALSE)</f>
        <v>44794764.090000004</v>
      </c>
      <c r="L80" s="151">
        <f>VLOOKUP($E80,'4.เขตปรับKและเกลี่ยเงินเพิ่มฯ'!$E$16:$AO$110,21,FALSE)</f>
        <v>24304903</v>
      </c>
      <c r="M80" s="151">
        <f>VLOOKUP($E80,'4.เขตปรับKและเกลี่ยเงินเพิ่มฯ'!$E$16:$AO$110,22,FALSE)</f>
        <v>20489861.09</v>
      </c>
      <c r="N80" s="151">
        <f>VLOOKUP($E80,'4.เขตปรับKและเกลี่ยเงินเพิ่มฯ'!$E$16:$AA$110,23,FALSE)</f>
        <v>0</v>
      </c>
      <c r="O80" s="151">
        <f>VLOOKUP($E80,'4.เขตปรับKและเกลี่ยเงินเพิ่มฯ'!$E$16:$AB$110,24,FALSE)</f>
        <v>20489861.09</v>
      </c>
      <c r="P80" s="151">
        <f>VLOOKUP($E80,'4.เขตปรับKและเกลี่ยเงินเพิ่มฯ'!$E$16:$AM$110,35,FALSE)</f>
        <v>0</v>
      </c>
      <c r="Q80" s="151">
        <f t="shared" si="10"/>
        <v>20489861.09</v>
      </c>
      <c r="R80" s="151">
        <f>VLOOKUP($E80,'4.เขตปรับKและเกลี่ยเงินเพิ่มฯ'!$E$16:$AI$110,31,FALSE)</f>
        <v>0</v>
      </c>
      <c r="S80" s="151">
        <f>VLOOKUP($E80,'4.เขตปรับKและเกลี่ยเงินเพิ่มฯ'!$E$16:$AH$110,30,FALSE)</f>
        <v>19816702.440000001</v>
      </c>
    </row>
    <row r="81" spans="1:19" s="139" customFormat="1" ht="15" customHeight="1" outlineLevel="2">
      <c r="A81" s="82">
        <v>570</v>
      </c>
      <c r="B81" s="82" t="s">
        <v>26</v>
      </c>
      <c r="C81" s="140" t="s">
        <v>153</v>
      </c>
      <c r="D81" s="140" t="s">
        <v>154</v>
      </c>
      <c r="E81" s="140" t="s">
        <v>181</v>
      </c>
      <c r="F81" s="140" t="s">
        <v>182</v>
      </c>
      <c r="G81" s="151">
        <f>VLOOKUP($E81,'4.เขตปรับKและเกลี่ยเงินเพิ่มฯ'!$E$16:$I$110,5,FALSE)</f>
        <v>1.3</v>
      </c>
      <c r="H81" s="151">
        <f>VLOOKUP($E81,'4.เขตปรับKและเกลี่ยเงินเพิ่มฯ'!$E$16:$AO$110,14,FALSE)</f>
        <v>36752628.789999999</v>
      </c>
      <c r="I81" s="151">
        <f>VLOOKUP($E81,'4.เขตปรับKและเกลี่ยเงินเพิ่มฯ'!$E$16:$AO$110,15,FALSE)</f>
        <v>7307590.2599999998</v>
      </c>
      <c r="J81" s="151">
        <f>VLOOKUP($E81,'4.เขตปรับKและเกลี่ยเงินเพิ่มฯ'!$E$16:$AO$110,16,FALSE)+VLOOKUP($E81,'4.เขตปรับKและเกลี่ยเงินเพิ่มฯ'!$E$16:$AO$110,17,FALSE)+VLOOKUP($E81,'4.เขตปรับKและเกลี่ยเงินเพิ่มฯ'!$E$16:$AO$110,18,FALSE)+VLOOKUP($E81,'4.เขตปรับKและเกลี่ยเงินเพิ่มฯ'!$E$16:$AO$110,19,FALSE)</f>
        <v>15496930.590000002</v>
      </c>
      <c r="K81" s="151">
        <f>VLOOKUP($E81,'4.เขตปรับKและเกลี่ยเงินเพิ่มฯ'!$E$16:$X$110,20,FALSE)</f>
        <v>59557149.640000001</v>
      </c>
      <c r="L81" s="151">
        <f>VLOOKUP($E81,'4.เขตปรับKและเกลี่ยเงินเพิ่มฯ'!$E$16:$AO$110,21,FALSE)</f>
        <v>34169973</v>
      </c>
      <c r="M81" s="151">
        <f>VLOOKUP($E81,'4.เขตปรับKและเกลี่ยเงินเพิ่มฯ'!$E$16:$AO$110,22,FALSE)</f>
        <v>25387176.640000001</v>
      </c>
      <c r="N81" s="151">
        <f>VLOOKUP($E81,'4.เขตปรับKและเกลี่ยเงินเพิ่มฯ'!$E$16:$AA$110,23,FALSE)</f>
        <v>1502226.09</v>
      </c>
      <c r="O81" s="151">
        <f>VLOOKUP($E81,'4.เขตปรับKและเกลี่ยเงินเพิ่มฯ'!$E$16:$AB$110,24,FALSE)</f>
        <v>26889402.73</v>
      </c>
      <c r="P81" s="151">
        <f>VLOOKUP($E81,'4.เขตปรับKและเกลี่ยเงินเพิ่มฯ'!$E$16:$AM$110,35,FALSE)</f>
        <v>0</v>
      </c>
      <c r="Q81" s="151">
        <f t="shared" si="10"/>
        <v>26889402.73</v>
      </c>
      <c r="R81" s="151">
        <f>VLOOKUP($E81,'4.เขตปรับKและเกลี่ยเงินเพิ่มฯ'!$E$16:$AI$110,31,FALSE)</f>
        <v>0</v>
      </c>
      <c r="S81" s="151">
        <f>VLOOKUP($E81,'4.เขตปรับKและเกลี่ยเงินเพิ่มฯ'!$E$16:$AH$110,30,FALSE)</f>
        <v>26889402.73</v>
      </c>
    </row>
    <row r="82" spans="1:19" s="139" customFormat="1" ht="15" customHeight="1" outlineLevel="2">
      <c r="A82" s="82">
        <v>571</v>
      </c>
      <c r="B82" s="82" t="s">
        <v>26</v>
      </c>
      <c r="C82" s="140" t="s">
        <v>153</v>
      </c>
      <c r="D82" s="140" t="s">
        <v>154</v>
      </c>
      <c r="E82" s="140" t="s">
        <v>183</v>
      </c>
      <c r="F82" s="140" t="s">
        <v>184</v>
      </c>
      <c r="G82" s="151">
        <f>VLOOKUP($E82,'4.เขตปรับKและเกลี่ยเงินเพิ่มฯ'!$E$16:$I$110,5,FALSE)</f>
        <v>1.25</v>
      </c>
      <c r="H82" s="151">
        <f>VLOOKUP($E82,'4.เขตปรับKและเกลี่ยเงินเพิ่มฯ'!$E$16:$AO$110,14,FALSE)</f>
        <v>46474139.890000001</v>
      </c>
      <c r="I82" s="151">
        <f>VLOOKUP($E82,'4.เขตปรับKและเกลี่ยเงินเพิ่มฯ'!$E$16:$AO$110,15,FALSE)</f>
        <v>9240535.5199999996</v>
      </c>
      <c r="J82" s="151">
        <f>VLOOKUP($E82,'4.เขตปรับKและเกลี่ยเงินเพิ่มฯ'!$E$16:$AO$110,16,FALSE)+VLOOKUP($E82,'4.เขตปรับKและเกลี่ยเงินเพิ่มฯ'!$E$16:$AO$110,17,FALSE)+VLOOKUP($E82,'4.เขตปรับKและเกลี่ยเงินเพิ่มฯ'!$E$16:$AO$110,18,FALSE)+VLOOKUP($E82,'4.เขตปรับKและเกลี่ยเงินเพิ่มฯ'!$E$16:$AO$110,19,FALSE)</f>
        <v>10910570.08</v>
      </c>
      <c r="K82" s="151">
        <f>VLOOKUP($E82,'4.เขตปรับKและเกลี่ยเงินเพิ่มฯ'!$E$16:$X$110,20,FALSE)</f>
        <v>66625245.489999995</v>
      </c>
      <c r="L82" s="151">
        <f>VLOOKUP($E82,'4.เขตปรับKและเกลี่ยเงินเพิ่มฯ'!$E$16:$AO$110,21,FALSE)</f>
        <v>27626150</v>
      </c>
      <c r="M82" s="151">
        <f>VLOOKUP($E82,'4.เขตปรับKและเกลี่ยเงินเพิ่มฯ'!$E$16:$AO$110,22,FALSE)</f>
        <v>38999095.490000002</v>
      </c>
      <c r="N82" s="151">
        <f>VLOOKUP($E82,'4.เขตปรับKและเกลี่ยเงินเพิ่มฯ'!$E$16:$AA$110,23,FALSE)</f>
        <v>0</v>
      </c>
      <c r="O82" s="151">
        <f>VLOOKUP($E82,'4.เขตปรับKและเกลี่ยเงินเพิ่มฯ'!$E$16:$AB$110,24,FALSE)</f>
        <v>38999095.490000002</v>
      </c>
      <c r="P82" s="151">
        <f>VLOOKUP($E82,'4.เขตปรับKและเกลี่ยเงินเพิ่มฯ'!$E$16:$AM$110,35,FALSE)</f>
        <v>0</v>
      </c>
      <c r="Q82" s="151">
        <f t="shared" si="10"/>
        <v>38999095.490000002</v>
      </c>
      <c r="R82" s="151">
        <f>VLOOKUP($E82,'4.เขตปรับKและเกลี่ยเงินเพิ่มฯ'!$E$16:$AI$110,31,FALSE)</f>
        <v>0</v>
      </c>
      <c r="S82" s="151">
        <f>VLOOKUP($E82,'4.เขตปรับKและเกลี่ยเงินเพิ่มฯ'!$E$16:$AH$110,30,FALSE)</f>
        <v>35030464.140000001</v>
      </c>
    </row>
    <row r="83" spans="1:19" s="139" customFormat="1" ht="15" customHeight="1" outlineLevel="2">
      <c r="A83" s="82">
        <v>572</v>
      </c>
      <c r="B83" s="82" t="s">
        <v>26</v>
      </c>
      <c r="C83" s="140" t="s">
        <v>153</v>
      </c>
      <c r="D83" s="140" t="s">
        <v>154</v>
      </c>
      <c r="E83" s="140" t="s">
        <v>185</v>
      </c>
      <c r="F83" s="140" t="s">
        <v>186</v>
      </c>
      <c r="G83" s="151">
        <f>VLOOKUP($E83,'4.เขตปรับKและเกลี่ยเงินเพิ่มฯ'!$E$16:$I$110,5,FALSE)</f>
        <v>1.3</v>
      </c>
      <c r="H83" s="151">
        <f>VLOOKUP($E83,'4.เขตปรับKและเกลี่ยเงินเพิ่มฯ'!$E$16:$AO$110,14,FALSE)</f>
        <v>41013482.079999998</v>
      </c>
      <c r="I83" s="151">
        <f>VLOOKUP($E83,'4.เขตปรับKและเกลี่ยเงินเพิ่มฯ'!$E$16:$AO$110,15,FALSE)</f>
        <v>8154783.2699999996</v>
      </c>
      <c r="J83" s="151">
        <f>VLOOKUP($E83,'4.เขตปรับKและเกลี่ยเงินเพิ่มฯ'!$E$16:$AO$110,16,FALSE)+VLOOKUP($E83,'4.เขตปรับKและเกลี่ยเงินเพิ่มฯ'!$E$16:$AO$110,17,FALSE)+VLOOKUP($E83,'4.เขตปรับKและเกลี่ยเงินเพิ่มฯ'!$E$16:$AO$110,18,FALSE)+VLOOKUP($E83,'4.เขตปรับKและเกลี่ยเงินเพิ่มฯ'!$E$16:$AO$110,19,FALSE)</f>
        <v>13246488.369999999</v>
      </c>
      <c r="K83" s="151">
        <f>VLOOKUP($E83,'4.เขตปรับKและเกลี่ยเงินเพิ่มฯ'!$E$16:$X$110,20,FALSE)</f>
        <v>62414753.719999999</v>
      </c>
      <c r="L83" s="151">
        <f>VLOOKUP($E83,'4.เขตปรับKและเกลี่ยเงินเพิ่มฯ'!$E$16:$AO$110,21,FALSE)</f>
        <v>25306632</v>
      </c>
      <c r="M83" s="151">
        <f>VLOOKUP($E83,'4.เขตปรับKและเกลี่ยเงินเพิ่มฯ'!$E$16:$AO$110,22,FALSE)</f>
        <v>37108121.719999999</v>
      </c>
      <c r="N83" s="151">
        <f>VLOOKUP($E83,'4.เขตปรับKและเกลี่ยเงินเพิ่มฯ'!$E$16:$AA$110,23,FALSE)</f>
        <v>0</v>
      </c>
      <c r="O83" s="151">
        <f>VLOOKUP($E83,'4.เขตปรับKและเกลี่ยเงินเพิ่มฯ'!$E$16:$AB$110,24,FALSE)</f>
        <v>37108121.719999999</v>
      </c>
      <c r="P83" s="151">
        <f>VLOOKUP($E83,'4.เขตปรับKและเกลี่ยเงินเพิ่มฯ'!$E$16:$AM$110,35,FALSE)</f>
        <v>0</v>
      </c>
      <c r="Q83" s="151">
        <f t="shared" si="10"/>
        <v>37108121.719999999</v>
      </c>
      <c r="R83" s="151">
        <f>VLOOKUP($E83,'4.เขตปรับKและเกลี่ยเงินเพิ่มฯ'!$E$16:$AI$110,31,FALSE)</f>
        <v>0</v>
      </c>
      <c r="S83" s="151">
        <f>VLOOKUP($E83,'4.เขตปรับKและเกลี่ยเงินเพิ่มฯ'!$E$16:$AH$110,30,FALSE)</f>
        <v>34856349</v>
      </c>
    </row>
    <row r="84" spans="1:19" s="139" customFormat="1" ht="15" customHeight="1" outlineLevel="2">
      <c r="A84" s="82">
        <v>573</v>
      </c>
      <c r="B84" s="82" t="s">
        <v>26</v>
      </c>
      <c r="C84" s="140" t="s">
        <v>153</v>
      </c>
      <c r="D84" s="140" t="s">
        <v>154</v>
      </c>
      <c r="E84" s="140" t="s">
        <v>187</v>
      </c>
      <c r="F84" s="140" t="s">
        <v>188</v>
      </c>
      <c r="G84" s="151">
        <f>VLOOKUP($E84,'4.เขตปรับKและเกลี่ยเงินเพิ่มฯ'!$E$16:$I$110,5,FALSE)</f>
        <v>1.1000000000000001</v>
      </c>
      <c r="H84" s="151">
        <f>VLOOKUP($E84,'4.เขตปรับKและเกลี่ยเงินเพิ่มฯ'!$E$16:$AO$110,14,FALSE)</f>
        <v>116066670.34</v>
      </c>
      <c r="I84" s="151">
        <f>VLOOKUP($E84,'4.เขตปรับKและเกลี่ยเงินเพิ่มฯ'!$E$16:$AO$110,15,FALSE)</f>
        <v>23077741.59</v>
      </c>
      <c r="J84" s="151">
        <f>VLOOKUP($E84,'4.เขตปรับKและเกลี่ยเงินเพิ่มฯ'!$E$16:$AO$110,16,FALSE)+VLOOKUP($E84,'4.เขตปรับKและเกลี่ยเงินเพิ่มฯ'!$E$16:$AO$110,17,FALSE)+VLOOKUP($E84,'4.เขตปรับKและเกลี่ยเงินเพิ่มฯ'!$E$16:$AO$110,18,FALSE)+VLOOKUP($E84,'4.เขตปรับKและเกลี่ยเงินเพิ่มฯ'!$E$16:$AO$110,19,FALSE)</f>
        <v>103513970.02000001</v>
      </c>
      <c r="K84" s="151">
        <f>VLOOKUP($E84,'4.เขตปรับKและเกลี่ยเงินเพิ่มฯ'!$E$16:$X$110,20,FALSE)</f>
        <v>242658381.94999999</v>
      </c>
      <c r="L84" s="151">
        <f>VLOOKUP($E84,'4.เขตปรับKและเกลี่ยเงินเพิ่มฯ'!$E$16:$AO$110,21,FALSE)</f>
        <v>118376434</v>
      </c>
      <c r="M84" s="151">
        <f>VLOOKUP($E84,'4.เขตปรับKและเกลี่ยเงินเพิ่มฯ'!$E$16:$AO$110,22,FALSE)</f>
        <v>124281947.95</v>
      </c>
      <c r="N84" s="151">
        <f>VLOOKUP($E84,'4.เขตปรับKและเกลี่ยเงินเพิ่มฯ'!$E$16:$AA$110,23,FALSE)</f>
        <v>28799269.039999999</v>
      </c>
      <c r="O84" s="151">
        <f>VLOOKUP($E84,'4.เขตปรับKและเกลี่ยเงินเพิ่มฯ'!$E$16:$AB$110,24,FALSE)</f>
        <v>153081216.99000001</v>
      </c>
      <c r="P84" s="151">
        <f>VLOOKUP($E84,'4.เขตปรับKและเกลี่ยเงินเพิ่มฯ'!$E$16:$AM$110,35,FALSE)</f>
        <v>0</v>
      </c>
      <c r="Q84" s="151">
        <f t="shared" si="10"/>
        <v>153081216.99000001</v>
      </c>
      <c r="R84" s="151">
        <f>VLOOKUP($E84,'4.เขตปรับKและเกลี่ยเงินเพิ่มฯ'!$E$16:$AI$110,31,FALSE)</f>
        <v>0</v>
      </c>
      <c r="S84" s="151">
        <f>VLOOKUP($E84,'4.เขตปรับKและเกลี่ยเงินเพิ่มฯ'!$E$16:$AH$110,30,FALSE)</f>
        <v>153081216.99000001</v>
      </c>
    </row>
    <row r="85" spans="1:19" s="139" customFormat="1" ht="15" customHeight="1" outlineLevel="2">
      <c r="A85" s="82">
        <v>574</v>
      </c>
      <c r="B85" s="82" t="s">
        <v>26</v>
      </c>
      <c r="C85" s="140" t="s">
        <v>153</v>
      </c>
      <c r="D85" s="140" t="s">
        <v>154</v>
      </c>
      <c r="E85" s="140" t="s">
        <v>189</v>
      </c>
      <c r="F85" s="140" t="s">
        <v>190</v>
      </c>
      <c r="G85" s="151">
        <f>VLOOKUP($E85,'4.เขตปรับKและเกลี่ยเงินเพิ่มฯ'!$E$16:$I$110,5,FALSE)</f>
        <v>1.3</v>
      </c>
      <c r="H85" s="151">
        <f>VLOOKUP($E85,'4.เขตปรับKและเกลี่ยเงินเพิ่มฯ'!$E$16:$AO$110,14,FALSE)</f>
        <v>41439321.25</v>
      </c>
      <c r="I85" s="151">
        <f>VLOOKUP($E85,'4.เขตปรับKและเกลี่ยเงินเพิ่มฯ'!$E$16:$AO$110,15,FALSE)</f>
        <v>8239453.6200000001</v>
      </c>
      <c r="J85" s="151">
        <f>VLOOKUP($E85,'4.เขตปรับKและเกลี่ยเงินเพิ่มฯ'!$E$16:$AO$110,16,FALSE)+VLOOKUP($E85,'4.เขตปรับKและเกลี่ยเงินเพิ่มฯ'!$E$16:$AO$110,17,FALSE)+VLOOKUP($E85,'4.เขตปรับKและเกลี่ยเงินเพิ่มฯ'!$E$16:$AO$110,18,FALSE)+VLOOKUP($E85,'4.เขตปรับKและเกลี่ยเงินเพิ่มฯ'!$E$16:$AO$110,19,FALSE)</f>
        <v>8574442.2200000007</v>
      </c>
      <c r="K85" s="151">
        <f>VLOOKUP($E85,'4.เขตปรับKและเกลี่ยเงินเพิ่มฯ'!$E$16:$X$110,20,FALSE)</f>
        <v>58253217.089999996</v>
      </c>
      <c r="L85" s="151">
        <f>VLOOKUP($E85,'4.เขตปรับKและเกลี่ยเงินเพิ่มฯ'!$E$16:$AO$110,21,FALSE)</f>
        <v>23250524</v>
      </c>
      <c r="M85" s="151">
        <f>VLOOKUP($E85,'4.เขตปรับKและเกลี่ยเงินเพิ่มฯ'!$E$16:$AO$110,22,FALSE)</f>
        <v>35002693.090000004</v>
      </c>
      <c r="N85" s="151">
        <f>VLOOKUP($E85,'4.เขตปรับKและเกลี่ยเงินเพิ่มฯ'!$E$16:$AA$110,23,FALSE)</f>
        <v>0</v>
      </c>
      <c r="O85" s="151">
        <f>VLOOKUP($E85,'4.เขตปรับKและเกลี่ยเงินเพิ่มฯ'!$E$16:$AB$110,24,FALSE)</f>
        <v>35002693.090000004</v>
      </c>
      <c r="P85" s="151">
        <f>VLOOKUP($E85,'4.เขตปรับKและเกลี่ยเงินเพิ่มฯ'!$E$16:$AM$110,35,FALSE)</f>
        <v>0</v>
      </c>
      <c r="Q85" s="151">
        <f t="shared" si="10"/>
        <v>35002693.090000004</v>
      </c>
      <c r="R85" s="151">
        <f>VLOOKUP($E85,'4.เขตปรับKและเกลี่ยเงินเพิ่มฯ'!$E$16:$AI$110,31,FALSE)</f>
        <v>0</v>
      </c>
      <c r="S85" s="151">
        <f>VLOOKUP($E85,'4.เขตปรับKและเกลี่ยเงินเพิ่มฯ'!$E$16:$AH$110,30,FALSE)</f>
        <v>30028740.82</v>
      </c>
    </row>
    <row r="86" spans="1:19" s="139" customFormat="1" ht="15" customHeight="1" outlineLevel="1">
      <c r="A86" s="153"/>
      <c r="B86" s="153"/>
      <c r="C86" s="152"/>
      <c r="D86" s="154" t="s">
        <v>268</v>
      </c>
      <c r="E86" s="155"/>
      <c r="F86" s="155"/>
      <c r="G86" s="156"/>
      <c r="H86" s="156">
        <f t="shared" ref="H86:S86" si="11">SUBTOTAL(9,H68:H85)</f>
        <v>1039308910.97</v>
      </c>
      <c r="I86" s="156">
        <f t="shared" si="11"/>
        <v>206647631.09</v>
      </c>
      <c r="J86" s="156">
        <f t="shared" si="11"/>
        <v>970203823.48000002</v>
      </c>
      <c r="K86" s="156">
        <f t="shared" si="11"/>
        <v>2216160365.54</v>
      </c>
      <c r="L86" s="156">
        <f t="shared" si="11"/>
        <v>1058294900</v>
      </c>
      <c r="M86" s="156">
        <f t="shared" si="11"/>
        <v>1157865465.54</v>
      </c>
      <c r="N86" s="156">
        <f t="shared" si="11"/>
        <v>33626843.100000001</v>
      </c>
      <c r="O86" s="156">
        <f t="shared" si="11"/>
        <v>1191492308.6400001</v>
      </c>
      <c r="P86" s="156">
        <f t="shared" si="11"/>
        <v>0</v>
      </c>
      <c r="Q86" s="156">
        <f t="shared" si="11"/>
        <v>1191492308.6400001</v>
      </c>
      <c r="R86" s="156">
        <f t="shared" si="11"/>
        <v>0</v>
      </c>
      <c r="S86" s="156">
        <f t="shared" si="11"/>
        <v>1102466001.0800002</v>
      </c>
    </row>
    <row r="87" spans="1:19" s="139" customFormat="1" ht="15" customHeight="1" outlineLevel="2">
      <c r="A87" s="141">
        <v>575</v>
      </c>
      <c r="B87" s="141" t="s">
        <v>26</v>
      </c>
      <c r="C87" s="140" t="s">
        <v>191</v>
      </c>
      <c r="D87" s="142" t="s">
        <v>192</v>
      </c>
      <c r="E87" s="142" t="s">
        <v>193</v>
      </c>
      <c r="F87" s="142" t="s">
        <v>194</v>
      </c>
      <c r="G87" s="151">
        <f>VLOOKUP($E87,'4.เขตปรับKและเกลี่ยเงินเพิ่มฯ'!$E$16:$I$110,5,FALSE)</f>
        <v>1.1000000000000001</v>
      </c>
      <c r="H87" s="151">
        <f>VLOOKUP($E87,'4.เขตปรับKและเกลี่ยเงินเพิ่มฯ'!$E$16:$AO$110,14,FALSE)</f>
        <v>111634685.75</v>
      </c>
      <c r="I87" s="151">
        <f>VLOOKUP($E87,'4.เขตปรับKและเกลี่ยเงินเพิ่มฯ'!$E$16:$AO$110,15,FALSE)</f>
        <v>22149397.68</v>
      </c>
      <c r="J87" s="151">
        <f>VLOOKUP($E87,'4.เขตปรับKและเกลี่ยเงินเพิ่มฯ'!$E$16:$AO$110,16,FALSE)+VLOOKUP($E87,'4.เขตปรับKและเกลี่ยเงินเพิ่มฯ'!$E$16:$AO$110,17,FALSE)+VLOOKUP($E87,'4.เขตปรับKและเกลี่ยเงินเพิ่มฯ'!$E$16:$AO$110,18,FALSE)+VLOOKUP($E87,'4.เขตปรับKและเกลี่ยเงินเพิ่มฯ'!$E$16:$AO$110,19,FALSE)</f>
        <v>210809574.84</v>
      </c>
      <c r="K87" s="151">
        <f>VLOOKUP($E87,'4.เขตปรับKและเกลี่ยเงินเพิ่มฯ'!$E$16:$X$110,20,FALSE)</f>
        <v>344593658.27000004</v>
      </c>
      <c r="L87" s="151">
        <f>VLOOKUP($E87,'4.เขตปรับKและเกลี่ยเงินเพิ่มฯ'!$E$16:$AO$110,21,FALSE)</f>
        <v>223427111</v>
      </c>
      <c r="M87" s="151">
        <f>VLOOKUP($E87,'4.เขตปรับKและเกลี่ยเงินเพิ่มฯ'!$E$16:$AO$110,22,FALSE)</f>
        <v>121166547.27</v>
      </c>
      <c r="N87" s="151">
        <f>VLOOKUP($E87,'4.เขตปรับKและเกลี่ยเงินเพิ่มฯ'!$E$16:$AA$110,23,FALSE)</f>
        <v>1142445.5900000001</v>
      </c>
      <c r="O87" s="151">
        <f>VLOOKUP($E87,'4.เขตปรับKและเกลี่ยเงินเพิ่มฯ'!$E$16:$AB$110,24,FALSE)</f>
        <v>122308992.86</v>
      </c>
      <c r="P87" s="151">
        <f>VLOOKUP($E87,'4.เขตปรับKและเกลี่ยเงินเพิ่มฯ'!$E$16:$AM$110,35,FALSE)</f>
        <v>0</v>
      </c>
      <c r="Q87" s="151">
        <f t="shared" ref="Q87:Q98" si="12">ROUND(O87-P87,2)</f>
        <v>122308992.86</v>
      </c>
      <c r="R87" s="151">
        <f>VLOOKUP($E87,'4.เขตปรับKและเกลี่ยเงินเพิ่มฯ'!$E$16:$AI$110,31,FALSE)</f>
        <v>0</v>
      </c>
      <c r="S87" s="151">
        <f>VLOOKUP($E87,'4.เขตปรับKและเกลี่ยเงินเพิ่มฯ'!$E$16:$AH$110,30,FALSE)</f>
        <v>122308992.86</v>
      </c>
    </row>
    <row r="88" spans="1:19" s="139" customFormat="1" ht="15" customHeight="1" outlineLevel="2">
      <c r="A88" s="82">
        <v>576</v>
      </c>
      <c r="B88" s="82" t="s">
        <v>26</v>
      </c>
      <c r="C88" s="140" t="s">
        <v>191</v>
      </c>
      <c r="D88" s="140" t="s">
        <v>192</v>
      </c>
      <c r="E88" s="140" t="s">
        <v>195</v>
      </c>
      <c r="F88" s="140" t="s">
        <v>196</v>
      </c>
      <c r="G88" s="151">
        <f>VLOOKUP($E88,'4.เขตปรับKและเกลี่ยเงินเพิ่มฯ'!$E$16:$I$110,5,FALSE)</f>
        <v>1.2</v>
      </c>
      <c r="H88" s="151">
        <f>VLOOKUP($E88,'4.เขตปรับKและเกลี่ยเงินเพิ่มฯ'!$E$16:$AO$110,14,FALSE)</f>
        <v>53647788.409999996</v>
      </c>
      <c r="I88" s="151">
        <f>VLOOKUP($E88,'4.เขตปรับKและเกลี่ยเงินเพิ่มฯ'!$E$16:$AO$110,15,FALSE)</f>
        <v>10644238.310000001</v>
      </c>
      <c r="J88" s="151">
        <f>VLOOKUP($E88,'4.เขตปรับKและเกลี่ยเงินเพิ่มฯ'!$E$16:$AO$110,16,FALSE)+VLOOKUP($E88,'4.เขตปรับKและเกลี่ยเงินเพิ่มฯ'!$E$16:$AO$110,17,FALSE)+VLOOKUP($E88,'4.เขตปรับKและเกลี่ยเงินเพิ่มฯ'!$E$16:$AO$110,18,FALSE)+VLOOKUP($E88,'4.เขตปรับKและเกลี่ยเงินเพิ่มฯ'!$E$16:$AO$110,19,FALSE)</f>
        <v>7948835.8100000005</v>
      </c>
      <c r="K88" s="151">
        <f>VLOOKUP($E88,'4.เขตปรับKและเกลี่ยเงินเพิ่มฯ'!$E$16:$X$110,20,FALSE)</f>
        <v>72240862.530000001</v>
      </c>
      <c r="L88" s="151">
        <f>VLOOKUP($E88,'4.เขตปรับKและเกลี่ยเงินเพิ่มฯ'!$E$16:$AO$110,21,FALSE)</f>
        <v>30782885</v>
      </c>
      <c r="M88" s="151">
        <f>VLOOKUP($E88,'4.เขตปรับKและเกลี่ยเงินเพิ่มฯ'!$E$16:$AO$110,22,FALSE)</f>
        <v>41457977.530000001</v>
      </c>
      <c r="N88" s="151">
        <f>VLOOKUP($E88,'4.เขตปรับKและเกลี่ยเงินเพิ่มฯ'!$E$16:$AA$110,23,FALSE)</f>
        <v>0</v>
      </c>
      <c r="O88" s="151">
        <f>VLOOKUP($E88,'4.เขตปรับKและเกลี่ยเงินเพิ่มฯ'!$E$16:$AB$110,24,FALSE)</f>
        <v>41457977.530000001</v>
      </c>
      <c r="P88" s="151">
        <f>VLOOKUP($E88,'4.เขตปรับKและเกลี่ยเงินเพิ่มฯ'!$E$16:$AM$110,35,FALSE)</f>
        <v>0</v>
      </c>
      <c r="Q88" s="151">
        <f t="shared" si="12"/>
        <v>41457977.530000001</v>
      </c>
      <c r="R88" s="151">
        <f>VLOOKUP($E88,'4.เขตปรับKและเกลี่ยเงินเพิ่มฯ'!$E$16:$AI$110,31,FALSE)</f>
        <v>0</v>
      </c>
      <c r="S88" s="151">
        <f>VLOOKUP($E88,'4.เขตปรับKและเกลี่ยเงินเพิ่มฯ'!$E$16:$AH$110,30,FALSE)</f>
        <v>36733685.520000003</v>
      </c>
    </row>
    <row r="89" spans="1:19" s="139" customFormat="1" ht="15" customHeight="1" outlineLevel="2">
      <c r="A89" s="82">
        <v>577</v>
      </c>
      <c r="B89" s="82" t="s">
        <v>26</v>
      </c>
      <c r="C89" s="140" t="s">
        <v>191</v>
      </c>
      <c r="D89" s="140" t="s">
        <v>192</v>
      </c>
      <c r="E89" s="140" t="s">
        <v>197</v>
      </c>
      <c r="F89" s="140" t="s">
        <v>198</v>
      </c>
      <c r="G89" s="151">
        <f>VLOOKUP($E89,'4.เขตปรับKและเกลี่ยเงินเพิ่มฯ'!$E$16:$I$110,5,FALSE)</f>
        <v>1.2</v>
      </c>
      <c r="H89" s="151">
        <f>VLOOKUP($E89,'4.เขตปรับKและเกลี่ยเงินเพิ่มฯ'!$E$16:$AO$110,14,FALSE)</f>
        <v>58434060.43</v>
      </c>
      <c r="I89" s="151">
        <f>VLOOKUP($E89,'4.เขตปรับKและเกลี่ยเงินเพิ่มฯ'!$E$16:$AO$110,15,FALSE)</f>
        <v>11593880.83</v>
      </c>
      <c r="J89" s="151">
        <f>VLOOKUP($E89,'4.เขตปรับKและเกลี่ยเงินเพิ่มฯ'!$E$16:$AO$110,16,FALSE)+VLOOKUP($E89,'4.เขตปรับKและเกลี่ยเงินเพิ่มฯ'!$E$16:$AO$110,17,FALSE)+VLOOKUP($E89,'4.เขตปรับKและเกลี่ยเงินเพิ่มฯ'!$E$16:$AO$110,18,FALSE)+VLOOKUP($E89,'4.เขตปรับKและเกลี่ยเงินเพิ่มฯ'!$E$16:$AO$110,19,FALSE)</f>
        <v>10792137.199999999</v>
      </c>
      <c r="K89" s="151">
        <f>VLOOKUP($E89,'4.เขตปรับKและเกลี่ยเงินเพิ่มฯ'!$E$16:$X$110,20,FALSE)</f>
        <v>80820078.460000008</v>
      </c>
      <c r="L89" s="151">
        <f>VLOOKUP($E89,'4.เขตปรับKและเกลี่ยเงินเพิ่มฯ'!$E$16:$AO$110,21,FALSE)</f>
        <v>40255932</v>
      </c>
      <c r="M89" s="151">
        <f>VLOOKUP($E89,'4.เขตปรับKและเกลี่ยเงินเพิ่มฯ'!$E$16:$AO$110,22,FALSE)</f>
        <v>40564146.460000001</v>
      </c>
      <c r="N89" s="151">
        <f>VLOOKUP($E89,'4.เขตปรับKและเกลี่ยเงินเพิ่มฯ'!$E$16:$AA$110,23,FALSE)</f>
        <v>0</v>
      </c>
      <c r="O89" s="151">
        <f>VLOOKUP($E89,'4.เขตปรับKและเกลี่ยเงินเพิ่มฯ'!$E$16:$AB$110,24,FALSE)</f>
        <v>40564146.460000001</v>
      </c>
      <c r="P89" s="151">
        <f>VLOOKUP($E89,'4.เขตปรับKและเกลี่ยเงินเพิ่มฯ'!$E$16:$AM$110,35,FALSE)</f>
        <v>0</v>
      </c>
      <c r="Q89" s="151">
        <f t="shared" si="12"/>
        <v>40564146.460000001</v>
      </c>
      <c r="R89" s="151">
        <f>VLOOKUP($E89,'4.เขตปรับKและเกลี่ยเงินเพิ่มฯ'!$E$16:$AI$110,31,FALSE)</f>
        <v>0</v>
      </c>
      <c r="S89" s="151">
        <f>VLOOKUP($E89,'4.เขตปรับKและเกลี่ยเงินเพิ่มฯ'!$E$16:$AH$110,30,FALSE)</f>
        <v>33113364.989999998</v>
      </c>
    </row>
    <row r="90" spans="1:19" s="139" customFormat="1" ht="15" customHeight="1" outlineLevel="2">
      <c r="A90" s="82">
        <v>578</v>
      </c>
      <c r="B90" s="82" t="s">
        <v>26</v>
      </c>
      <c r="C90" s="140" t="s">
        <v>191</v>
      </c>
      <c r="D90" s="140" t="s">
        <v>192</v>
      </c>
      <c r="E90" s="140" t="s">
        <v>199</v>
      </c>
      <c r="F90" s="140" t="s">
        <v>200</v>
      </c>
      <c r="G90" s="151">
        <f>VLOOKUP($E90,'4.เขตปรับKและเกลี่ยเงินเพิ่มฯ'!$E$16:$I$110,5,FALSE)</f>
        <v>1.3</v>
      </c>
      <c r="H90" s="151">
        <f>VLOOKUP($E90,'4.เขตปรับKและเกลี่ยเงินเพิ่มฯ'!$E$16:$AO$110,14,FALSE)</f>
        <v>39694013.299999997</v>
      </c>
      <c r="I90" s="151">
        <f>VLOOKUP($E90,'4.เขตปรับKและเกลี่ยเงินเพิ่มฯ'!$E$16:$AO$110,15,FALSE)</f>
        <v>7875674.8399999999</v>
      </c>
      <c r="J90" s="151">
        <f>VLOOKUP($E90,'4.เขตปรับKและเกลี่ยเงินเพิ่มฯ'!$E$16:$AO$110,16,FALSE)+VLOOKUP($E90,'4.เขตปรับKและเกลี่ยเงินเพิ่มฯ'!$E$16:$AO$110,17,FALSE)+VLOOKUP($E90,'4.เขตปรับKและเกลี่ยเงินเพิ่มฯ'!$E$16:$AO$110,18,FALSE)+VLOOKUP($E90,'4.เขตปรับKและเกลี่ยเงินเพิ่มฯ'!$E$16:$AO$110,19,FALSE)</f>
        <v>12169844.09</v>
      </c>
      <c r="K90" s="151">
        <f>VLOOKUP($E90,'4.เขตปรับKและเกลี่ยเงินเพิ่มฯ'!$E$16:$X$110,20,FALSE)</f>
        <v>59739532.229999997</v>
      </c>
      <c r="L90" s="151">
        <f>VLOOKUP($E90,'4.เขตปรับKและเกลี่ยเงินเพิ่มฯ'!$E$16:$AO$110,21,FALSE)</f>
        <v>30947160</v>
      </c>
      <c r="M90" s="151">
        <f>VLOOKUP($E90,'4.เขตปรับKและเกลี่ยเงินเพิ่มฯ'!$E$16:$AO$110,22,FALSE)</f>
        <v>28792372.23</v>
      </c>
      <c r="N90" s="151">
        <f>VLOOKUP($E90,'4.เขตปรับKและเกลี่ยเงินเพิ่มฯ'!$E$16:$AA$110,23,FALSE)</f>
        <v>0</v>
      </c>
      <c r="O90" s="151">
        <f>VLOOKUP($E90,'4.เขตปรับKและเกลี่ยเงินเพิ่มฯ'!$E$16:$AB$110,24,FALSE)</f>
        <v>28792372.23</v>
      </c>
      <c r="P90" s="151">
        <f>VLOOKUP($E90,'4.เขตปรับKและเกลี่ยเงินเพิ่มฯ'!$E$16:$AM$110,35,FALSE)</f>
        <v>0</v>
      </c>
      <c r="Q90" s="151">
        <f t="shared" si="12"/>
        <v>28792372.23</v>
      </c>
      <c r="R90" s="151">
        <f>VLOOKUP($E90,'4.เขตปรับKและเกลี่ยเงินเพิ่มฯ'!$E$16:$AI$110,31,FALSE)</f>
        <v>0</v>
      </c>
      <c r="S90" s="151">
        <f>VLOOKUP($E90,'4.เขตปรับKและเกลี่ยเงินเพิ่มฯ'!$E$16:$AH$110,30,FALSE)</f>
        <v>23266270.52</v>
      </c>
    </row>
    <row r="91" spans="1:19" s="139" customFormat="1" ht="15" customHeight="1" outlineLevel="2">
      <c r="A91" s="82">
        <v>579</v>
      </c>
      <c r="B91" s="82" t="s">
        <v>26</v>
      </c>
      <c r="C91" s="140" t="s">
        <v>191</v>
      </c>
      <c r="D91" s="140" t="s">
        <v>192</v>
      </c>
      <c r="E91" s="140" t="s">
        <v>201</v>
      </c>
      <c r="F91" s="140" t="s">
        <v>202</v>
      </c>
      <c r="G91" s="151">
        <f>VLOOKUP($E91,'4.เขตปรับKและเกลี่ยเงินเพิ่มฯ'!$E$16:$I$110,5,FALSE)</f>
        <v>1.35</v>
      </c>
      <c r="H91" s="151">
        <f>VLOOKUP($E91,'4.เขตปรับKและเกลี่ยเงินเพิ่มฯ'!$E$16:$AO$110,14,FALSE)</f>
        <v>27788306.739999998</v>
      </c>
      <c r="I91" s="151">
        <f>VLOOKUP($E91,'4.เขตปรับKและเกลี่ยเงินเพิ่มฯ'!$E$16:$AO$110,15,FALSE)</f>
        <v>5513467.9000000004</v>
      </c>
      <c r="J91" s="151">
        <f>VLOOKUP($E91,'4.เขตปรับKและเกลี่ยเงินเพิ่มฯ'!$E$16:$AO$110,16,FALSE)+VLOOKUP($E91,'4.เขตปรับKและเกลี่ยเงินเพิ่มฯ'!$E$16:$AO$110,17,FALSE)+VLOOKUP($E91,'4.เขตปรับKและเกลี่ยเงินเพิ่มฯ'!$E$16:$AO$110,18,FALSE)+VLOOKUP($E91,'4.เขตปรับKและเกลี่ยเงินเพิ่มฯ'!$E$16:$AO$110,19,FALSE)</f>
        <v>8140050.5200000005</v>
      </c>
      <c r="K91" s="151">
        <f>VLOOKUP($E91,'4.เขตปรับKและเกลี่ยเงินเพิ่มฯ'!$E$16:$X$110,20,FALSE)</f>
        <v>41441825.160000004</v>
      </c>
      <c r="L91" s="151">
        <f>VLOOKUP($E91,'4.เขตปรับKและเกลี่ยเงินเพิ่มฯ'!$E$16:$AO$110,21,FALSE)</f>
        <v>18347981</v>
      </c>
      <c r="M91" s="151">
        <f>VLOOKUP($E91,'4.เขตปรับKและเกลี่ยเงินเพิ่มฯ'!$E$16:$AO$110,22,FALSE)</f>
        <v>23093844.16</v>
      </c>
      <c r="N91" s="151">
        <f>VLOOKUP($E91,'4.เขตปรับKและเกลี่ยเงินเพิ่มฯ'!$E$16:$AA$110,23,FALSE)</f>
        <v>0</v>
      </c>
      <c r="O91" s="151">
        <f>VLOOKUP($E91,'4.เขตปรับKและเกลี่ยเงินเพิ่มฯ'!$E$16:$AB$110,24,FALSE)</f>
        <v>23093844.16</v>
      </c>
      <c r="P91" s="151">
        <f>VLOOKUP($E91,'4.เขตปรับKและเกลี่ยเงินเพิ่มฯ'!$E$16:$AM$110,35,FALSE)</f>
        <v>0</v>
      </c>
      <c r="Q91" s="151">
        <f t="shared" si="12"/>
        <v>23093844.16</v>
      </c>
      <c r="R91" s="151">
        <f>VLOOKUP($E91,'4.เขตปรับKและเกลี่ยเงินเพิ่มฯ'!$E$16:$AI$110,31,FALSE)</f>
        <v>0</v>
      </c>
      <c r="S91" s="151">
        <f>VLOOKUP($E91,'4.เขตปรับKและเกลี่ยเงินเพิ่มฯ'!$E$16:$AH$110,30,FALSE)</f>
        <v>20779592.16</v>
      </c>
    </row>
    <row r="92" spans="1:19" s="139" customFormat="1" ht="15" customHeight="1" outlineLevel="2">
      <c r="A92" s="82">
        <v>580</v>
      </c>
      <c r="B92" s="82" t="s">
        <v>26</v>
      </c>
      <c r="C92" s="140" t="s">
        <v>191</v>
      </c>
      <c r="D92" s="140" t="s">
        <v>192</v>
      </c>
      <c r="E92" s="140" t="s">
        <v>203</v>
      </c>
      <c r="F92" s="140" t="s">
        <v>204</v>
      </c>
      <c r="G92" s="151">
        <f>VLOOKUP($E92,'4.เขตปรับKและเกลี่ยเงินเพิ่มฯ'!$E$16:$I$110,5,FALSE)</f>
        <v>1.25</v>
      </c>
      <c r="H92" s="151">
        <f>VLOOKUP($E92,'4.เขตปรับKและเกลี่ยเงินเพิ่มฯ'!$E$16:$AO$110,14,FALSE)</f>
        <v>46238335.409999996</v>
      </c>
      <c r="I92" s="151">
        <f>VLOOKUP($E92,'4.เขตปรับKและเกลี่ยเงินเพิ่มฯ'!$E$16:$AO$110,15,FALSE)</f>
        <v>9174131.4199999999</v>
      </c>
      <c r="J92" s="151">
        <f>VLOOKUP($E92,'4.เขตปรับKและเกลี่ยเงินเพิ่มฯ'!$E$16:$AO$110,16,FALSE)+VLOOKUP($E92,'4.เขตปรับKและเกลี่ยเงินเพิ่มฯ'!$E$16:$AO$110,17,FALSE)+VLOOKUP($E92,'4.เขตปรับKและเกลี่ยเงินเพิ่มฯ'!$E$16:$AO$110,18,FALSE)+VLOOKUP($E92,'4.เขตปรับKและเกลี่ยเงินเพิ่มฯ'!$E$16:$AO$110,19,FALSE)</f>
        <v>14203759.01</v>
      </c>
      <c r="K92" s="151">
        <f>VLOOKUP($E92,'4.เขตปรับKและเกลี่ยเงินเพิ่มฯ'!$E$16:$X$110,20,FALSE)</f>
        <v>69616225.840000004</v>
      </c>
      <c r="L92" s="151">
        <f>VLOOKUP($E92,'4.เขตปรับKและเกลี่ยเงินเพิ่มฯ'!$E$16:$AO$110,21,FALSE)</f>
        <v>42685695</v>
      </c>
      <c r="M92" s="151">
        <f>VLOOKUP($E92,'4.เขตปรับKและเกลี่ยเงินเพิ่มฯ'!$E$16:$AO$110,22,FALSE)</f>
        <v>26930530.84</v>
      </c>
      <c r="N92" s="151">
        <f>VLOOKUP($E92,'4.เขตปรับKและเกลี่ยเงินเพิ่มฯ'!$E$16:$AA$110,23,FALSE)</f>
        <v>0</v>
      </c>
      <c r="O92" s="151">
        <f>VLOOKUP($E92,'4.เขตปรับKและเกลี่ยเงินเพิ่มฯ'!$E$16:$AB$110,24,FALSE)</f>
        <v>26930530.84</v>
      </c>
      <c r="P92" s="151">
        <f>VLOOKUP($E92,'4.เขตปรับKและเกลี่ยเงินเพิ่มฯ'!$E$16:$AM$110,35,FALSE)</f>
        <v>0</v>
      </c>
      <c r="Q92" s="151">
        <f t="shared" si="12"/>
        <v>26930530.84</v>
      </c>
      <c r="R92" s="151">
        <f>VLOOKUP($E92,'4.เขตปรับKและเกลี่ยเงินเพิ่มฯ'!$E$16:$AI$110,31,FALSE)</f>
        <v>0</v>
      </c>
      <c r="S92" s="151">
        <f>VLOOKUP($E92,'4.เขตปรับKและเกลี่ยเงินเพิ่มฯ'!$E$16:$AH$110,30,FALSE)</f>
        <v>22167398.710000001</v>
      </c>
    </row>
    <row r="93" spans="1:19" s="139" customFormat="1" ht="15" customHeight="1" outlineLevel="2">
      <c r="A93" s="82">
        <v>581</v>
      </c>
      <c r="B93" s="82" t="s">
        <v>26</v>
      </c>
      <c r="C93" s="140" t="s">
        <v>191</v>
      </c>
      <c r="D93" s="140" t="s">
        <v>192</v>
      </c>
      <c r="E93" s="140" t="s">
        <v>205</v>
      </c>
      <c r="F93" s="140" t="s">
        <v>206</v>
      </c>
      <c r="G93" s="151">
        <f>VLOOKUP($E93,'4.เขตปรับKและเกลี่ยเงินเพิ่มฯ'!$E$16:$I$110,5,FALSE)</f>
        <v>1.1499999999999999</v>
      </c>
      <c r="H93" s="151">
        <f>VLOOKUP($E93,'4.เขตปรับKและเกลี่ยเงินเพิ่มฯ'!$E$16:$AO$110,14,FALSE)</f>
        <v>67914269.920000002</v>
      </c>
      <c r="I93" s="151">
        <f>VLOOKUP($E93,'4.เขตปรับKและเกลี่ยเงินเพิ่มฯ'!$E$16:$AO$110,15,FALSE)</f>
        <v>13474845.76</v>
      </c>
      <c r="J93" s="151">
        <f>VLOOKUP($E93,'4.เขตปรับKและเกลี่ยเงินเพิ่มฯ'!$E$16:$AO$110,16,FALSE)+VLOOKUP($E93,'4.เขตปรับKและเกลี่ยเงินเพิ่มฯ'!$E$16:$AO$110,17,FALSE)+VLOOKUP($E93,'4.เขตปรับKและเกลี่ยเงินเพิ่มฯ'!$E$16:$AO$110,18,FALSE)+VLOOKUP($E93,'4.เขตปรับKและเกลี่ยเงินเพิ่มฯ'!$E$16:$AO$110,19,FALSE)</f>
        <v>15654980.800000001</v>
      </c>
      <c r="K93" s="151">
        <f>VLOOKUP($E93,'4.เขตปรับKและเกลี่ยเงินเพิ่มฯ'!$E$16:$X$110,20,FALSE)</f>
        <v>97044096.480000004</v>
      </c>
      <c r="L93" s="151">
        <f>VLOOKUP($E93,'4.เขตปรับKและเกลี่ยเงินเพิ่มฯ'!$E$16:$AO$110,21,FALSE)</f>
        <v>49935934</v>
      </c>
      <c r="M93" s="151">
        <f>VLOOKUP($E93,'4.เขตปรับKและเกลี่ยเงินเพิ่มฯ'!$E$16:$AO$110,22,FALSE)</f>
        <v>47108162.479999997</v>
      </c>
      <c r="N93" s="151">
        <f>VLOOKUP($E93,'4.เขตปรับKและเกลี่ยเงินเพิ่มฯ'!$E$16:$AA$110,23,FALSE)</f>
        <v>0</v>
      </c>
      <c r="O93" s="151">
        <f>VLOOKUP($E93,'4.เขตปรับKและเกลี่ยเงินเพิ่มฯ'!$E$16:$AB$110,24,FALSE)</f>
        <v>47108162.479999997</v>
      </c>
      <c r="P93" s="151">
        <f>VLOOKUP($E93,'4.เขตปรับKและเกลี่ยเงินเพิ่มฯ'!$E$16:$AM$110,35,FALSE)</f>
        <v>0</v>
      </c>
      <c r="Q93" s="151">
        <f t="shared" si="12"/>
        <v>47108162.479999997</v>
      </c>
      <c r="R93" s="151">
        <f>VLOOKUP($E93,'4.เขตปรับKและเกลี่ยเงินเพิ่มฯ'!$E$16:$AI$110,31,FALSE)</f>
        <v>0</v>
      </c>
      <c r="S93" s="151">
        <f>VLOOKUP($E93,'4.เขตปรับKและเกลี่ยเงินเพิ่มฯ'!$E$16:$AH$110,30,FALSE)</f>
        <v>43055752.189999998</v>
      </c>
    </row>
    <row r="94" spans="1:19" s="139" customFormat="1" ht="15" customHeight="1" outlineLevel="2">
      <c r="A94" s="82">
        <v>582</v>
      </c>
      <c r="B94" s="82" t="s">
        <v>26</v>
      </c>
      <c r="C94" s="140" t="s">
        <v>191</v>
      </c>
      <c r="D94" s="140" t="s">
        <v>192</v>
      </c>
      <c r="E94" s="140" t="s">
        <v>207</v>
      </c>
      <c r="F94" s="140" t="s">
        <v>208</v>
      </c>
      <c r="G94" s="151">
        <f>VLOOKUP($E94,'4.เขตปรับKและเกลี่ยเงินเพิ่มฯ'!$E$16:$I$110,5,FALSE)</f>
        <v>1.1499999999999999</v>
      </c>
      <c r="H94" s="151">
        <f>VLOOKUP($E94,'4.เขตปรับKและเกลี่ยเงินเพิ่มฯ'!$E$16:$AO$110,14,FALSE)</f>
        <v>66691056.789999999</v>
      </c>
      <c r="I94" s="151">
        <f>VLOOKUP($E94,'4.เขตปรับKและเกลี่ยเงินเพิ่มฯ'!$E$16:$AO$110,15,FALSE)</f>
        <v>13232148.49</v>
      </c>
      <c r="J94" s="151">
        <f>VLOOKUP($E94,'4.เขตปรับKและเกลี่ยเงินเพิ่มฯ'!$E$16:$AO$110,16,FALSE)+VLOOKUP($E94,'4.เขตปรับKและเกลี่ยเงินเพิ่มฯ'!$E$16:$AO$110,17,FALSE)+VLOOKUP($E94,'4.เขตปรับKและเกลี่ยเงินเพิ่มฯ'!$E$16:$AO$110,18,FALSE)+VLOOKUP($E94,'4.เขตปรับKและเกลี่ยเงินเพิ่มฯ'!$E$16:$AO$110,19,FALSE)</f>
        <v>29165939.57</v>
      </c>
      <c r="K94" s="151">
        <f>VLOOKUP($E94,'4.เขตปรับKและเกลี่ยเงินเพิ่มฯ'!$E$16:$X$110,20,FALSE)</f>
        <v>109089144.85000001</v>
      </c>
      <c r="L94" s="151">
        <f>VLOOKUP($E94,'4.เขตปรับKและเกลี่ยเงินเพิ่มฯ'!$E$16:$AO$110,21,FALSE)</f>
        <v>48470962</v>
      </c>
      <c r="M94" s="151">
        <f>VLOOKUP($E94,'4.เขตปรับKและเกลี่ยเงินเพิ่มฯ'!$E$16:$AO$110,22,FALSE)</f>
        <v>60618182.850000001</v>
      </c>
      <c r="N94" s="151">
        <f>VLOOKUP($E94,'4.เขตปรับKและเกลี่ยเงินเพิ่มฯ'!$E$16:$AA$110,23,FALSE)</f>
        <v>0</v>
      </c>
      <c r="O94" s="151">
        <f>VLOOKUP($E94,'4.เขตปรับKและเกลี่ยเงินเพิ่มฯ'!$E$16:$AB$110,24,FALSE)</f>
        <v>60618182.850000001</v>
      </c>
      <c r="P94" s="151">
        <f>VLOOKUP($E94,'4.เขตปรับKและเกลี่ยเงินเพิ่มฯ'!$E$16:$AM$110,35,FALSE)</f>
        <v>0</v>
      </c>
      <c r="Q94" s="151">
        <f t="shared" si="12"/>
        <v>60618182.850000001</v>
      </c>
      <c r="R94" s="151">
        <f>VLOOKUP($E94,'4.เขตปรับKและเกลี่ยเงินเพิ่มฯ'!$E$16:$AI$110,31,FALSE)</f>
        <v>0</v>
      </c>
      <c r="S94" s="151">
        <f>VLOOKUP($E94,'4.เขตปรับKและเกลี่ยเงินเพิ่มฯ'!$E$16:$AH$110,30,FALSE)</f>
        <v>55944945.049999997</v>
      </c>
    </row>
    <row r="95" spans="1:19" s="139" customFormat="1" ht="15" customHeight="1" outlineLevel="2">
      <c r="A95" s="82">
        <v>583</v>
      </c>
      <c r="B95" s="82" t="s">
        <v>26</v>
      </c>
      <c r="C95" s="140" t="s">
        <v>191</v>
      </c>
      <c r="D95" s="140" t="s">
        <v>192</v>
      </c>
      <c r="E95" s="140" t="s">
        <v>209</v>
      </c>
      <c r="F95" s="140" t="s">
        <v>210</v>
      </c>
      <c r="G95" s="151">
        <f>VLOOKUP($E95,'4.เขตปรับKและเกลี่ยเงินเพิ่มฯ'!$E$16:$I$110,5,FALSE)</f>
        <v>1.25</v>
      </c>
      <c r="H95" s="151">
        <f>VLOOKUP($E95,'4.เขตปรับKและเกลี่ยเงินเพิ่มฯ'!$E$16:$AO$110,14,FALSE)</f>
        <v>51765746.189999998</v>
      </c>
      <c r="I95" s="151">
        <f>VLOOKUP($E95,'4.เขตปรับKและเกลี่ยเงินเพิ่มฯ'!$E$16:$AO$110,15,FALSE)</f>
        <v>10270823.01</v>
      </c>
      <c r="J95" s="151">
        <f>VLOOKUP($E95,'4.เขตปรับKและเกลี่ยเงินเพิ่มฯ'!$E$16:$AO$110,16,FALSE)+VLOOKUP($E95,'4.เขตปรับKและเกลี่ยเงินเพิ่มฯ'!$E$16:$AO$110,17,FALSE)+VLOOKUP($E95,'4.เขตปรับKและเกลี่ยเงินเพิ่มฯ'!$E$16:$AO$110,18,FALSE)+VLOOKUP($E95,'4.เขตปรับKและเกลี่ยเงินเพิ่มฯ'!$E$16:$AO$110,19,FALSE)</f>
        <v>11245768.379999999</v>
      </c>
      <c r="K95" s="151">
        <f>VLOOKUP($E95,'4.เขตปรับKและเกลี่ยเงินเพิ่มฯ'!$E$16:$X$110,20,FALSE)</f>
        <v>73282337.579999998</v>
      </c>
      <c r="L95" s="151">
        <f>VLOOKUP($E95,'4.เขตปรับKและเกลี่ยเงินเพิ่มฯ'!$E$16:$AO$110,21,FALSE)</f>
        <v>30965894</v>
      </c>
      <c r="M95" s="151">
        <f>VLOOKUP($E95,'4.เขตปรับKและเกลี่ยเงินเพิ่มฯ'!$E$16:$AO$110,22,FALSE)</f>
        <v>42316443.579999998</v>
      </c>
      <c r="N95" s="151">
        <f>VLOOKUP($E95,'4.เขตปรับKและเกลี่ยเงินเพิ่มฯ'!$E$16:$AA$110,23,FALSE)</f>
        <v>0</v>
      </c>
      <c r="O95" s="151">
        <f>VLOOKUP($E95,'4.เขตปรับKและเกลี่ยเงินเพิ่มฯ'!$E$16:$AB$110,24,FALSE)</f>
        <v>42316443.579999998</v>
      </c>
      <c r="P95" s="151">
        <f>VLOOKUP($E95,'4.เขตปรับKและเกลี่ยเงินเพิ่มฯ'!$E$16:$AM$110,35,FALSE)</f>
        <v>0</v>
      </c>
      <c r="Q95" s="151">
        <f t="shared" si="12"/>
        <v>42316443.579999998</v>
      </c>
      <c r="R95" s="151">
        <f>VLOOKUP($E95,'4.เขตปรับKและเกลี่ยเงินเพิ่มฯ'!$E$16:$AI$110,31,FALSE)</f>
        <v>0</v>
      </c>
      <c r="S95" s="151">
        <f>VLOOKUP($E95,'4.เขตปรับKและเกลี่ยเงินเพิ่มฯ'!$E$16:$AH$110,30,FALSE)</f>
        <v>32970851.010000002</v>
      </c>
    </row>
    <row r="96" spans="1:19" s="139" customFormat="1" ht="15" customHeight="1" outlineLevel="2">
      <c r="A96" s="82">
        <v>584</v>
      </c>
      <c r="B96" s="82" t="s">
        <v>26</v>
      </c>
      <c r="C96" s="140" t="s">
        <v>191</v>
      </c>
      <c r="D96" s="140" t="s">
        <v>192</v>
      </c>
      <c r="E96" s="140" t="s">
        <v>211</v>
      </c>
      <c r="F96" s="140" t="s">
        <v>212</v>
      </c>
      <c r="G96" s="151">
        <f>VLOOKUP($E96,'4.เขตปรับKและเกลี่ยเงินเพิ่มฯ'!$E$16:$I$110,5,FALSE)</f>
        <v>1.2</v>
      </c>
      <c r="H96" s="151">
        <f>VLOOKUP($E96,'4.เขตปรับKและเกลี่ยเงินเพิ่มฯ'!$E$16:$AO$110,14,FALSE)</f>
        <v>57328419.990000002</v>
      </c>
      <c r="I96" s="151">
        <f>VLOOKUP($E96,'4.เขตปรับKและเกลี่ยเงินเพิ่มฯ'!$E$16:$AO$110,15,FALSE)</f>
        <v>11374511.1</v>
      </c>
      <c r="J96" s="151">
        <f>VLOOKUP($E96,'4.เขตปรับKและเกลี่ยเงินเพิ่มฯ'!$E$16:$AO$110,16,FALSE)+VLOOKUP($E96,'4.เขตปรับKและเกลี่ยเงินเพิ่มฯ'!$E$16:$AO$110,17,FALSE)+VLOOKUP($E96,'4.เขตปรับKและเกลี่ยเงินเพิ่มฯ'!$E$16:$AO$110,18,FALSE)+VLOOKUP($E96,'4.เขตปรับKและเกลี่ยเงินเพิ่มฯ'!$E$16:$AO$110,19,FALSE)</f>
        <v>14711062.310000001</v>
      </c>
      <c r="K96" s="151">
        <f>VLOOKUP($E96,'4.เขตปรับKและเกลี่ยเงินเพิ่มฯ'!$E$16:$X$110,20,FALSE)</f>
        <v>83413993.400000006</v>
      </c>
      <c r="L96" s="151">
        <f>VLOOKUP($E96,'4.เขตปรับKและเกลี่ยเงินเพิ่มฯ'!$E$16:$AO$110,21,FALSE)</f>
        <v>33158653</v>
      </c>
      <c r="M96" s="151">
        <f>VLOOKUP($E96,'4.เขตปรับKและเกลี่ยเงินเพิ่มฯ'!$E$16:$AO$110,22,FALSE)</f>
        <v>50255340.399999999</v>
      </c>
      <c r="N96" s="151">
        <f>VLOOKUP($E96,'4.เขตปรับKและเกลี่ยเงินเพิ่มฯ'!$E$16:$AA$110,23,FALSE)</f>
        <v>0</v>
      </c>
      <c r="O96" s="151">
        <f>VLOOKUP($E96,'4.เขตปรับKและเกลี่ยเงินเพิ่มฯ'!$E$16:$AB$110,24,FALSE)</f>
        <v>50255340.399999999</v>
      </c>
      <c r="P96" s="151">
        <f>VLOOKUP($E96,'4.เขตปรับKและเกลี่ยเงินเพิ่มฯ'!$E$16:$AM$110,35,FALSE)</f>
        <v>0</v>
      </c>
      <c r="Q96" s="151">
        <f t="shared" si="12"/>
        <v>50255340.399999999</v>
      </c>
      <c r="R96" s="151">
        <f>VLOOKUP($E96,'4.เขตปรับKและเกลี่ยเงินเพิ่มฯ'!$E$16:$AI$110,31,FALSE)</f>
        <v>0</v>
      </c>
      <c r="S96" s="151">
        <f>VLOOKUP($E96,'4.เขตปรับKและเกลี่ยเงินเพิ่มฯ'!$E$16:$AH$110,30,FALSE)</f>
        <v>41197232.990000002</v>
      </c>
    </row>
    <row r="97" spans="1:19" s="139" customFormat="1" ht="15" customHeight="1" outlineLevel="2">
      <c r="A97" s="82">
        <v>585</v>
      </c>
      <c r="B97" s="82" t="s">
        <v>26</v>
      </c>
      <c r="C97" s="140" t="s">
        <v>191</v>
      </c>
      <c r="D97" s="140" t="s">
        <v>192</v>
      </c>
      <c r="E97" s="140" t="s">
        <v>213</v>
      </c>
      <c r="F97" s="140" t="s">
        <v>214</v>
      </c>
      <c r="G97" s="151">
        <f>VLOOKUP($E97,'4.เขตปรับKและเกลี่ยเงินเพิ่มฯ'!$E$16:$I$110,5,FALSE)</f>
        <v>1.1000000000000001</v>
      </c>
      <c r="H97" s="151">
        <f>VLOOKUP($E97,'4.เขตปรับKและเกลี่ยเงินเพิ่มฯ'!$E$16:$AO$110,14,FALSE)</f>
        <v>73165688.299999997</v>
      </c>
      <c r="I97" s="151">
        <f>VLOOKUP($E97,'4.เขตปรับKและเกลี่ยเงินเพิ่มฯ'!$E$16:$AO$110,15,FALSE)</f>
        <v>14516777.779999999</v>
      </c>
      <c r="J97" s="151">
        <f>VLOOKUP($E97,'4.เขตปรับKและเกลี่ยเงินเพิ่มฯ'!$E$16:$AO$110,16,FALSE)+VLOOKUP($E97,'4.เขตปรับKและเกลี่ยเงินเพิ่มฯ'!$E$16:$AO$110,17,FALSE)+VLOOKUP($E97,'4.เขตปรับKและเกลี่ยเงินเพิ่มฯ'!$E$16:$AO$110,18,FALSE)+VLOOKUP($E97,'4.เขตปรับKและเกลี่ยเงินเพิ่มฯ'!$E$16:$AO$110,19,FALSE)</f>
        <v>41690141.439999998</v>
      </c>
      <c r="K97" s="151">
        <f>VLOOKUP($E97,'4.เขตปรับKและเกลี่ยเงินเพิ่มฯ'!$E$16:$X$110,20,FALSE)</f>
        <v>129372607.52000001</v>
      </c>
      <c r="L97" s="151">
        <f>VLOOKUP($E97,'4.เขตปรับKและเกลี่ยเงินเพิ่มฯ'!$E$16:$AO$110,21,FALSE)</f>
        <v>75772682</v>
      </c>
      <c r="M97" s="151">
        <f>VLOOKUP($E97,'4.เขตปรับKและเกลี่ยเงินเพิ่มฯ'!$E$16:$AO$110,22,FALSE)</f>
        <v>53599925.520000003</v>
      </c>
      <c r="N97" s="151">
        <f>VLOOKUP($E97,'4.เขตปรับKและเกลี่ยเงินเพิ่มฯ'!$E$16:$AA$110,23,FALSE)</f>
        <v>0</v>
      </c>
      <c r="O97" s="151">
        <f>VLOOKUP($E97,'4.เขตปรับKและเกลี่ยเงินเพิ่มฯ'!$E$16:$AB$110,24,FALSE)</f>
        <v>53599925.520000003</v>
      </c>
      <c r="P97" s="151">
        <f>VLOOKUP($E97,'4.เขตปรับKและเกลี่ยเงินเพิ่มฯ'!$E$16:$AM$110,35,FALSE)</f>
        <v>0</v>
      </c>
      <c r="Q97" s="151">
        <f t="shared" si="12"/>
        <v>53599925.520000003</v>
      </c>
      <c r="R97" s="151">
        <f>VLOOKUP($E97,'4.เขตปรับKและเกลี่ยเงินเพิ่มฯ'!$E$16:$AI$110,31,FALSE)</f>
        <v>0</v>
      </c>
      <c r="S97" s="151">
        <f>VLOOKUP($E97,'4.เขตปรับKและเกลี่ยเงินเพิ่มฯ'!$E$16:$AH$110,30,FALSE)</f>
        <v>49006859.479999997</v>
      </c>
    </row>
    <row r="98" spans="1:19" s="139" customFormat="1" ht="15" customHeight="1" outlineLevel="2">
      <c r="A98" s="82">
        <v>586</v>
      </c>
      <c r="B98" s="82" t="s">
        <v>26</v>
      </c>
      <c r="C98" s="140" t="s">
        <v>191</v>
      </c>
      <c r="D98" s="140" t="s">
        <v>192</v>
      </c>
      <c r="E98" s="140" t="s">
        <v>215</v>
      </c>
      <c r="F98" s="140" t="s">
        <v>216</v>
      </c>
      <c r="G98" s="151">
        <f>VLOOKUP($E98,'4.เขตปรับKและเกลี่ยเงินเพิ่มฯ'!$E$16:$I$110,5,FALSE)</f>
        <v>1.35</v>
      </c>
      <c r="H98" s="151">
        <f>VLOOKUP($E98,'4.เขตปรับKและเกลี่ยเงินเพิ่มฯ'!$E$16:$AO$110,14,FALSE)</f>
        <v>19078958.960000001</v>
      </c>
      <c r="I98" s="151">
        <f>VLOOKUP($E98,'4.เขตปรับKและเกลี่ยเงินเพิ่มฯ'!$E$16:$AO$110,15,FALSE)</f>
        <v>3785449.35</v>
      </c>
      <c r="J98" s="151">
        <f>VLOOKUP($E98,'4.เขตปรับKและเกลี่ยเงินเพิ่มฯ'!$E$16:$AO$110,16,FALSE)+VLOOKUP($E98,'4.เขตปรับKและเกลี่ยเงินเพิ่มฯ'!$E$16:$AO$110,17,FALSE)+VLOOKUP($E98,'4.เขตปรับKและเกลี่ยเงินเพิ่มฯ'!$E$16:$AO$110,18,FALSE)+VLOOKUP($E98,'4.เขตปรับKและเกลี่ยเงินเพิ่มฯ'!$E$16:$AO$110,19,FALSE)</f>
        <v>6004129.54</v>
      </c>
      <c r="K98" s="151">
        <f>VLOOKUP($E98,'4.เขตปรับKและเกลี่ยเงินเพิ่มฯ'!$E$16:$X$110,20,FALSE)</f>
        <v>28868537.850000005</v>
      </c>
      <c r="L98" s="151">
        <f>VLOOKUP($E98,'4.เขตปรับKและเกลี่ยเงินเพิ่มฯ'!$E$16:$AO$110,21,FALSE)</f>
        <v>15434311</v>
      </c>
      <c r="M98" s="151">
        <f>VLOOKUP($E98,'4.เขตปรับKและเกลี่ยเงินเพิ่มฯ'!$E$16:$AO$110,22,FALSE)</f>
        <v>13434226.85</v>
      </c>
      <c r="N98" s="151">
        <f>VLOOKUP($E98,'4.เขตปรับKและเกลี่ยเงินเพิ่มฯ'!$E$16:$AA$110,23,FALSE)</f>
        <v>0</v>
      </c>
      <c r="O98" s="151">
        <f>VLOOKUP($E98,'4.เขตปรับKและเกลี่ยเงินเพิ่มฯ'!$E$16:$AB$110,24,FALSE)</f>
        <v>13434226.85</v>
      </c>
      <c r="P98" s="151">
        <f>VLOOKUP($E98,'4.เขตปรับKและเกลี่ยเงินเพิ่มฯ'!$E$16:$AM$110,35,FALSE)</f>
        <v>0</v>
      </c>
      <c r="Q98" s="151">
        <f t="shared" si="12"/>
        <v>13434226.85</v>
      </c>
      <c r="R98" s="151">
        <f>VLOOKUP($E98,'4.เขตปรับKและเกลี่ยเงินเพิ่มฯ'!$E$16:$AI$110,31,FALSE)</f>
        <v>0</v>
      </c>
      <c r="S98" s="151">
        <f>VLOOKUP($E98,'4.เขตปรับKและเกลี่ยเงินเพิ่มฯ'!$E$16:$AH$110,30,FALSE)</f>
        <v>13164675.460000001</v>
      </c>
    </row>
    <row r="99" spans="1:19" s="139" customFormat="1" ht="15" customHeight="1" outlineLevel="1">
      <c r="A99" s="153"/>
      <c r="B99" s="153"/>
      <c r="C99" s="152"/>
      <c r="D99" s="154" t="s">
        <v>269</v>
      </c>
      <c r="E99" s="155"/>
      <c r="F99" s="155"/>
      <c r="G99" s="156"/>
      <c r="H99" s="156">
        <f t="shared" ref="H99:S99" si="13">SUBTOTAL(9,H87:H98)</f>
        <v>673381330.18999994</v>
      </c>
      <c r="I99" s="156">
        <f t="shared" si="13"/>
        <v>133605346.46999998</v>
      </c>
      <c r="J99" s="156">
        <f t="shared" si="13"/>
        <v>382536223.50999999</v>
      </c>
      <c r="K99" s="156">
        <f t="shared" si="13"/>
        <v>1189522900.1700001</v>
      </c>
      <c r="L99" s="156">
        <f t="shared" si="13"/>
        <v>640185200</v>
      </c>
      <c r="M99" s="156">
        <f t="shared" si="13"/>
        <v>549337700.16999996</v>
      </c>
      <c r="N99" s="156">
        <f t="shared" si="13"/>
        <v>1142445.5900000001</v>
      </c>
      <c r="O99" s="156">
        <f t="shared" si="13"/>
        <v>550480145.75999999</v>
      </c>
      <c r="P99" s="156">
        <f t="shared" si="13"/>
        <v>0</v>
      </c>
      <c r="Q99" s="156">
        <f t="shared" si="13"/>
        <v>550480145.75999999</v>
      </c>
      <c r="R99" s="156">
        <f t="shared" si="13"/>
        <v>0</v>
      </c>
      <c r="S99" s="156">
        <f t="shared" si="13"/>
        <v>493709620.94000006</v>
      </c>
    </row>
    <row r="100" spans="1:19" s="139" customFormat="1" ht="15" customHeight="1">
      <c r="A100" s="272"/>
      <c r="B100" s="272"/>
      <c r="C100" s="273"/>
      <c r="D100" s="274" t="s">
        <v>270</v>
      </c>
      <c r="E100" s="275"/>
      <c r="F100" s="275"/>
      <c r="G100" s="276"/>
      <c r="H100" s="276">
        <f t="shared" ref="H100:S100" si="14">SUBTOTAL(9,H5:H99)</f>
        <v>5129086269.6900005</v>
      </c>
      <c r="I100" s="276">
        <f t="shared" si="14"/>
        <v>1006076852.48</v>
      </c>
      <c r="J100" s="276">
        <f t="shared" si="14"/>
        <v>4353203663.079999</v>
      </c>
      <c r="K100" s="276">
        <f t="shared" si="14"/>
        <v>10488366785.25</v>
      </c>
      <c r="L100" s="276">
        <f t="shared" si="14"/>
        <v>4825917500</v>
      </c>
      <c r="M100" s="276">
        <f t="shared" si="14"/>
        <v>5662449285.250001</v>
      </c>
      <c r="N100" s="276">
        <f t="shared" si="14"/>
        <v>81440729.310000002</v>
      </c>
      <c r="O100" s="276">
        <f t="shared" si="14"/>
        <v>5743890014.5599985</v>
      </c>
      <c r="P100" s="276">
        <f t="shared" si="14"/>
        <v>0</v>
      </c>
      <c r="Q100" s="276">
        <f t="shared" si="14"/>
        <v>5743890014.5599985</v>
      </c>
      <c r="R100" s="276">
        <f t="shared" si="14"/>
        <v>0</v>
      </c>
      <c r="S100" s="276">
        <f t="shared" si="14"/>
        <v>5176466485.7899971</v>
      </c>
    </row>
    <row r="101" spans="1:19">
      <c r="N101" s="150"/>
    </row>
  </sheetData>
  <sheetProtection algorithmName="SHA-512" hashValue="Rkoc539ITigALHp5g8wUrarOpJSJQxZxu3OcOoJ5ft90E9hizKE502b4jGp2XeiV6vVQyWJXtt6JfvFTfcOsWA==" saltValue="VaS70amoPRYiYrFA/BDgOA==" spinCount="100000" sheet="1" objects="1" scenarios="1"/>
  <autoFilter ref="A4:S99" xr:uid="{FFD95451-99B1-42FE-A414-D44031D9022B}"/>
  <mergeCells count="1">
    <mergeCell ref="A1:S1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58" orientation="landscape" r:id="rId1"/>
  <headerFooter>
    <oddFooter>&amp;Cหน้า &amp;P / &amp;N</oddFooter>
  </headerFooter>
  <rowBreaks count="8" manualBreakCount="8">
    <brk id="4" max="16383" man="1"/>
    <brk id="13" max="16383" man="1"/>
    <brk id="20" max="16383" man="1"/>
    <brk id="42" max="16383" man="1"/>
    <brk id="57" max="16383" man="1"/>
    <brk id="67" max="16383" man="1"/>
    <brk id="86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Step</vt:lpstr>
      <vt:lpstr>Readme</vt:lpstr>
      <vt:lpstr>1.จัดสรรก่อนSK</vt:lpstr>
      <vt:lpstr>2.จัดสรรหลังSK</vt:lpstr>
      <vt:lpstr>3.สรุปวงเงินเขต</vt:lpstr>
      <vt:lpstr>4.เขตปรับKและเกลี่ยเงินเพิ่มฯ</vt:lpstr>
      <vt:lpstr>5.ปรับเกลี่ย PP NonUC</vt:lpstr>
      <vt:lpstr>6.Printผลการปรับเกลี่ยส่ง</vt:lpstr>
      <vt:lpstr>'5.ปรับเกลี่ย PP NonUC'!Print_Titles</vt:lpstr>
      <vt:lpstr>'6.Printผลการปรับเกลี่ยส่ง'!Print_Titles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Tawatchai Ruangrot</dc:creator>
  <cp:lastModifiedBy>SWIFT</cp:lastModifiedBy>
  <cp:lastPrinted>2022-09-28T16:59:15Z</cp:lastPrinted>
  <dcterms:created xsi:type="dcterms:W3CDTF">2020-09-16T02:01:34Z</dcterms:created>
  <dcterms:modified xsi:type="dcterms:W3CDTF">2022-10-11T03:58:03Z</dcterms:modified>
</cp:coreProperties>
</file>