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Work\LA\"/>
    </mc:Choice>
  </mc:AlternateContent>
  <xr:revisionPtr revIDLastSave="0" documentId="13_ncr:1_{9FF546AC-6DF3-4771-9E49-5843E89FCCD6}" xr6:coauthVersionLast="47" xr6:coauthVersionMax="47" xr10:uidLastSave="{00000000-0000-0000-0000-000000000000}"/>
  <bookViews>
    <workbookView xWindow="28680" yWindow="-120" windowWidth="24240" windowHeight="13140" activeTab="1" xr2:uid="{00000000-000D-0000-FFFF-FFFF00000000}"/>
  </bookViews>
  <sheets>
    <sheet name="คำแนะนำ" sheetId="7" r:id="rId1"/>
    <sheet name="สรุปข้อมูล" sheetId="6" r:id="rId2"/>
    <sheet name="data_ชีชกรอกข้อมูล" sheetId="1" r:id="rId3"/>
  </sheets>
  <definedNames>
    <definedName name="_xlnm._FilterDatabase" localSheetId="2" hidden="1">data_ชีชกรอกข้อมูล!$A$3:$AL$91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6" l="1"/>
  <c r="C2" i="6" l="1"/>
  <c r="D30" i="6" l="1"/>
  <c r="D8" i="6"/>
  <c r="D7" i="6"/>
  <c r="D6" i="6"/>
  <c r="C5" i="6"/>
  <c r="C4" i="6"/>
  <c r="D19" i="6" l="1"/>
  <c r="D28" i="6" l="1"/>
  <c r="D18" i="6"/>
  <c r="D17" i="6"/>
  <c r="D29" i="6"/>
  <c r="D27" i="6"/>
  <c r="D16" i="6"/>
  <c r="D15" i="6"/>
  <c r="AE90" i="1"/>
  <c r="AE88" i="1"/>
  <c r="AE86" i="1"/>
  <c r="AE84" i="1"/>
  <c r="AE82" i="1"/>
  <c r="AE80" i="1"/>
  <c r="AE78" i="1"/>
  <c r="AE76" i="1"/>
  <c r="AE74" i="1"/>
  <c r="AE72" i="1"/>
  <c r="AE70" i="1"/>
  <c r="AE68" i="1"/>
  <c r="AE66" i="1"/>
  <c r="AE64" i="1"/>
  <c r="AE62" i="1"/>
  <c r="AE60" i="1"/>
  <c r="AE58" i="1"/>
  <c r="AE56" i="1"/>
  <c r="AE54" i="1"/>
  <c r="AE52" i="1"/>
  <c r="AE50" i="1"/>
  <c r="AE48" i="1"/>
  <c r="AE46" i="1"/>
  <c r="AE44" i="1"/>
  <c r="AE42" i="1"/>
  <c r="AE40" i="1"/>
  <c r="AE38" i="1"/>
  <c r="AE36" i="1"/>
  <c r="AE34" i="1"/>
  <c r="AE32" i="1"/>
  <c r="AE30" i="1"/>
  <c r="AE28" i="1"/>
  <c r="AE26" i="1"/>
  <c r="AE24" i="1"/>
  <c r="AE22" i="1"/>
  <c r="AE20" i="1"/>
  <c r="AE18" i="1"/>
  <c r="AE16" i="1"/>
  <c r="AE14" i="1"/>
  <c r="AE12" i="1"/>
  <c r="AE10" i="1"/>
  <c r="AE8" i="1"/>
  <c r="AE6" i="1"/>
  <c r="AE4" i="1"/>
  <c r="D26" i="6"/>
  <c r="AE75" i="1"/>
  <c r="AE73" i="1"/>
  <c r="AE71" i="1"/>
  <c r="AE69" i="1"/>
  <c r="AE67" i="1"/>
  <c r="AE65" i="1"/>
  <c r="AE63" i="1"/>
  <c r="AE61" i="1"/>
  <c r="AE59" i="1"/>
  <c r="AE57" i="1"/>
  <c r="AE55" i="1"/>
  <c r="AE53" i="1"/>
  <c r="AE51" i="1"/>
  <c r="AE49" i="1"/>
  <c r="AE47" i="1"/>
  <c r="AE45" i="1"/>
  <c r="AE43" i="1"/>
  <c r="AE41" i="1"/>
  <c r="AE39" i="1"/>
  <c r="AE37" i="1"/>
  <c r="AE35" i="1"/>
  <c r="AE33" i="1"/>
  <c r="AE31" i="1"/>
  <c r="AE29" i="1"/>
  <c r="AE27" i="1"/>
  <c r="AE25" i="1"/>
  <c r="AE23" i="1"/>
  <c r="AE21" i="1"/>
  <c r="AE19" i="1"/>
  <c r="AE17" i="1"/>
  <c r="AE15" i="1"/>
  <c r="AE13" i="1"/>
  <c r="AE11" i="1"/>
  <c r="AE9" i="1"/>
  <c r="AE7" i="1"/>
  <c r="AE5" i="1"/>
  <c r="AE91" i="1"/>
  <c r="AE89" i="1"/>
  <c r="AE87" i="1"/>
  <c r="AE85" i="1"/>
  <c r="AE83" i="1"/>
  <c r="AE81" i="1"/>
  <c r="AE79" i="1"/>
  <c r="AE77" i="1"/>
  <c r="U4" i="1"/>
  <c r="V4" i="1"/>
  <c r="W4" i="1"/>
  <c r="X4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V18" i="1"/>
  <c r="W18" i="1"/>
  <c r="X18" i="1"/>
  <c r="U19" i="1"/>
  <c r="V19" i="1"/>
  <c r="W19" i="1"/>
  <c r="X19" i="1"/>
  <c r="U20" i="1"/>
  <c r="V20" i="1"/>
  <c r="W20" i="1"/>
  <c r="X20" i="1"/>
  <c r="U21" i="1"/>
  <c r="V21" i="1"/>
  <c r="W21" i="1"/>
  <c r="X21" i="1"/>
  <c r="U22" i="1"/>
  <c r="V22" i="1"/>
  <c r="W22" i="1"/>
  <c r="X22" i="1"/>
  <c r="U23" i="1"/>
  <c r="V23" i="1"/>
  <c r="W23" i="1"/>
  <c r="X23" i="1"/>
  <c r="U24" i="1"/>
  <c r="V24" i="1"/>
  <c r="W24" i="1"/>
  <c r="X24" i="1"/>
  <c r="U25" i="1"/>
  <c r="V25" i="1"/>
  <c r="W25" i="1"/>
  <c r="X25" i="1"/>
  <c r="V26" i="1"/>
  <c r="W26" i="1"/>
  <c r="X26" i="1"/>
  <c r="U27" i="1"/>
  <c r="V27" i="1"/>
  <c r="W27" i="1"/>
  <c r="X27" i="1"/>
  <c r="V28" i="1"/>
  <c r="W28" i="1"/>
  <c r="X28" i="1"/>
  <c r="U29" i="1"/>
  <c r="V29" i="1"/>
  <c r="W29" i="1"/>
  <c r="X29" i="1"/>
  <c r="U30" i="1"/>
  <c r="V30" i="1"/>
  <c r="W30" i="1"/>
  <c r="X30" i="1"/>
  <c r="U31" i="1"/>
  <c r="V31" i="1"/>
  <c r="W31" i="1"/>
  <c r="X31" i="1"/>
  <c r="U32" i="1"/>
  <c r="V32" i="1"/>
  <c r="W32" i="1"/>
  <c r="X32" i="1"/>
  <c r="U33" i="1"/>
  <c r="V33" i="1"/>
  <c r="W33" i="1"/>
  <c r="X33" i="1"/>
  <c r="U34" i="1"/>
  <c r="V34" i="1"/>
  <c r="W34" i="1"/>
  <c r="X34" i="1"/>
  <c r="U35" i="1"/>
  <c r="V35" i="1"/>
  <c r="W35" i="1"/>
  <c r="X35" i="1"/>
  <c r="U36" i="1"/>
  <c r="V36" i="1"/>
  <c r="W36" i="1"/>
  <c r="X36" i="1"/>
  <c r="U37" i="1"/>
  <c r="V37" i="1"/>
  <c r="W37" i="1"/>
  <c r="X37" i="1"/>
  <c r="U38" i="1"/>
  <c r="V38" i="1"/>
  <c r="W38" i="1"/>
  <c r="X38" i="1"/>
  <c r="U39" i="1"/>
  <c r="V39" i="1"/>
  <c r="W39" i="1"/>
  <c r="X39" i="1"/>
  <c r="U40" i="1"/>
  <c r="V40" i="1"/>
  <c r="W40" i="1"/>
  <c r="X40" i="1"/>
  <c r="U41" i="1"/>
  <c r="V41" i="1"/>
  <c r="W41" i="1"/>
  <c r="X41" i="1"/>
  <c r="V42" i="1"/>
  <c r="W42" i="1"/>
  <c r="X42" i="1"/>
  <c r="U43" i="1"/>
  <c r="V43" i="1"/>
  <c r="W43" i="1"/>
  <c r="X43" i="1"/>
  <c r="U44" i="1"/>
  <c r="W44" i="1"/>
  <c r="X44" i="1"/>
  <c r="U45" i="1"/>
  <c r="V45" i="1"/>
  <c r="W45" i="1"/>
  <c r="X45" i="1"/>
  <c r="U46" i="1"/>
  <c r="V46" i="1"/>
  <c r="W46" i="1"/>
  <c r="U47" i="1"/>
  <c r="V47" i="1"/>
  <c r="W47" i="1"/>
  <c r="X47" i="1"/>
  <c r="U48" i="1"/>
  <c r="V48" i="1"/>
  <c r="W48" i="1"/>
  <c r="X48" i="1"/>
  <c r="U49" i="1"/>
  <c r="V49" i="1"/>
  <c r="W49" i="1"/>
  <c r="X49" i="1"/>
  <c r="U50" i="1"/>
  <c r="V50" i="1"/>
  <c r="W50" i="1"/>
  <c r="X50" i="1"/>
  <c r="U51" i="1"/>
  <c r="V51" i="1"/>
  <c r="W51" i="1"/>
  <c r="X51" i="1"/>
  <c r="U52" i="1"/>
  <c r="V52" i="1"/>
  <c r="W52" i="1"/>
  <c r="X52" i="1"/>
  <c r="U53" i="1"/>
  <c r="V53" i="1"/>
  <c r="W53" i="1"/>
  <c r="X53" i="1"/>
  <c r="U54" i="1"/>
  <c r="V54" i="1"/>
  <c r="W54" i="1"/>
  <c r="X54" i="1"/>
  <c r="U55" i="1"/>
  <c r="V55" i="1"/>
  <c r="W55" i="1"/>
  <c r="X55" i="1"/>
  <c r="U56" i="1"/>
  <c r="V56" i="1"/>
  <c r="W56" i="1"/>
  <c r="X56" i="1"/>
  <c r="U57" i="1"/>
  <c r="V57" i="1"/>
  <c r="W57" i="1"/>
  <c r="U58" i="1"/>
  <c r="V58" i="1"/>
  <c r="W58" i="1"/>
  <c r="X58" i="1"/>
  <c r="U59" i="1"/>
  <c r="V59" i="1"/>
  <c r="W59" i="1"/>
  <c r="X59" i="1"/>
  <c r="U60" i="1"/>
  <c r="V60" i="1"/>
  <c r="W60" i="1"/>
  <c r="X60" i="1"/>
  <c r="U61" i="1"/>
  <c r="V61" i="1"/>
  <c r="W61" i="1"/>
  <c r="X61" i="1"/>
  <c r="U62" i="1"/>
  <c r="V62" i="1"/>
  <c r="W62" i="1"/>
  <c r="X62" i="1"/>
  <c r="U63" i="1"/>
  <c r="V63" i="1"/>
  <c r="W63" i="1"/>
  <c r="X63" i="1"/>
  <c r="U64" i="1"/>
  <c r="V64" i="1"/>
  <c r="W64" i="1"/>
  <c r="X64" i="1"/>
  <c r="U65" i="1"/>
  <c r="V65" i="1"/>
  <c r="W65" i="1"/>
  <c r="X65" i="1"/>
  <c r="U66" i="1"/>
  <c r="V66" i="1"/>
  <c r="W66" i="1"/>
  <c r="X66" i="1"/>
  <c r="U67" i="1"/>
  <c r="V67" i="1"/>
  <c r="W67" i="1"/>
  <c r="X67" i="1"/>
  <c r="U68" i="1"/>
  <c r="V68" i="1"/>
  <c r="W68" i="1"/>
  <c r="X68" i="1"/>
  <c r="U69" i="1"/>
  <c r="V69" i="1"/>
  <c r="W69" i="1"/>
  <c r="X69" i="1"/>
  <c r="U70" i="1"/>
  <c r="V70" i="1"/>
  <c r="W70" i="1"/>
  <c r="X70" i="1"/>
  <c r="U71" i="1"/>
  <c r="V71" i="1"/>
  <c r="W71" i="1"/>
  <c r="X71" i="1"/>
  <c r="U72" i="1"/>
  <c r="V72" i="1"/>
  <c r="W72" i="1"/>
  <c r="X72" i="1"/>
  <c r="U73" i="1"/>
  <c r="V73" i="1"/>
  <c r="W73" i="1"/>
  <c r="X73" i="1"/>
  <c r="U74" i="1"/>
  <c r="V74" i="1"/>
  <c r="W74" i="1"/>
  <c r="X74" i="1"/>
  <c r="V75" i="1"/>
  <c r="W75" i="1"/>
  <c r="X75" i="1"/>
  <c r="U76" i="1"/>
  <c r="V76" i="1"/>
  <c r="W76" i="1"/>
  <c r="X76" i="1"/>
  <c r="U77" i="1"/>
  <c r="W77" i="1"/>
  <c r="X77" i="1"/>
  <c r="U78" i="1"/>
  <c r="V78" i="1"/>
  <c r="W78" i="1"/>
  <c r="X78" i="1"/>
  <c r="U79" i="1"/>
  <c r="V79" i="1"/>
  <c r="X79" i="1"/>
  <c r="U80" i="1"/>
  <c r="V80" i="1"/>
  <c r="W80" i="1"/>
  <c r="X80" i="1"/>
  <c r="U81" i="1"/>
  <c r="V81" i="1"/>
  <c r="W81" i="1"/>
  <c r="X81" i="1"/>
  <c r="U82" i="1"/>
  <c r="V82" i="1"/>
  <c r="W82" i="1"/>
  <c r="X82" i="1"/>
  <c r="U83" i="1"/>
  <c r="V83" i="1"/>
  <c r="W83" i="1"/>
  <c r="X83" i="1"/>
  <c r="U84" i="1"/>
  <c r="V84" i="1"/>
  <c r="W84" i="1"/>
  <c r="X84" i="1"/>
  <c r="U85" i="1"/>
  <c r="V85" i="1"/>
  <c r="W85" i="1"/>
  <c r="X85" i="1"/>
  <c r="U86" i="1"/>
  <c r="V86" i="1"/>
  <c r="W86" i="1"/>
  <c r="X86" i="1"/>
  <c r="U87" i="1"/>
  <c r="V87" i="1"/>
  <c r="W87" i="1"/>
  <c r="X87" i="1"/>
  <c r="U88" i="1"/>
  <c r="V88" i="1"/>
  <c r="W88" i="1"/>
  <c r="X88" i="1"/>
  <c r="U89" i="1"/>
  <c r="V89" i="1"/>
  <c r="W89" i="1"/>
  <c r="X89" i="1"/>
  <c r="U90" i="1"/>
  <c r="V90" i="1"/>
  <c r="W90" i="1"/>
  <c r="X90" i="1"/>
  <c r="U91" i="1"/>
  <c r="V91" i="1"/>
  <c r="W91" i="1"/>
  <c r="X91" i="1"/>
  <c r="D21" i="6" l="1"/>
  <c r="D10" i="6"/>
  <c r="T79" i="1"/>
  <c r="T55" i="1"/>
  <c r="T47" i="1"/>
  <c r="T39" i="1"/>
  <c r="T31" i="1"/>
  <c r="T23" i="1"/>
  <c r="T15" i="1"/>
  <c r="T7" i="1"/>
  <c r="D9" i="6"/>
  <c r="T90" i="1"/>
  <c r="T74" i="1"/>
  <c r="T66" i="1"/>
  <c r="T42" i="1"/>
  <c r="T34" i="1"/>
  <c r="T26" i="1"/>
  <c r="T18" i="1"/>
  <c r="T10" i="1"/>
  <c r="D31" i="6"/>
  <c r="T77" i="1"/>
  <c r="T45" i="1"/>
  <c r="Y45" i="1" s="1"/>
  <c r="T29" i="1"/>
  <c r="T21" i="1"/>
  <c r="Y21" i="1" s="1"/>
  <c r="T13" i="1"/>
  <c r="T88" i="1"/>
  <c r="Y88" i="1" s="1"/>
  <c r="T80" i="1"/>
  <c r="T72" i="1"/>
  <c r="T64" i="1"/>
  <c r="Y64" i="1" s="1"/>
  <c r="AF64" i="1" s="1"/>
  <c r="T56" i="1"/>
  <c r="Y56" i="1" s="1"/>
  <c r="AF56" i="1" s="1"/>
  <c r="T48" i="1"/>
  <c r="T40" i="1"/>
  <c r="T32" i="1"/>
  <c r="T8" i="1"/>
  <c r="Y8" i="1" s="1"/>
  <c r="AF8" i="1" s="1"/>
  <c r="T83" i="1"/>
  <c r="T75" i="1"/>
  <c r="T59" i="1"/>
  <c r="T43" i="1"/>
  <c r="T35" i="1"/>
  <c r="T27" i="1"/>
  <c r="T19" i="1"/>
  <c r="T11" i="1"/>
  <c r="D24" i="6"/>
  <c r="D13" i="6"/>
  <c r="T70" i="1"/>
  <c r="Y70" i="1" s="1"/>
  <c r="T54" i="1"/>
  <c r="T46" i="1"/>
  <c r="T38" i="1"/>
  <c r="T30" i="1"/>
  <c r="T22" i="1"/>
  <c r="T6" i="1"/>
  <c r="D23" i="6"/>
  <c r="D12" i="6"/>
  <c r="T89" i="1"/>
  <c r="T57" i="1"/>
  <c r="T49" i="1"/>
  <c r="T41" i="1"/>
  <c r="T33" i="1"/>
  <c r="Y33" i="1" s="1"/>
  <c r="AF33" i="1" s="1"/>
  <c r="T17" i="1"/>
  <c r="T9" i="1"/>
  <c r="Y9" i="1" s="1"/>
  <c r="AF9" i="1" s="1"/>
  <c r="D22" i="6"/>
  <c r="D11" i="6"/>
  <c r="T84" i="1"/>
  <c r="T76" i="1"/>
  <c r="T68" i="1"/>
  <c r="Y68" i="1" s="1"/>
  <c r="T60" i="1"/>
  <c r="T52" i="1"/>
  <c r="Y52" i="1" s="1"/>
  <c r="AF52" i="1" s="1"/>
  <c r="T44" i="1"/>
  <c r="T28" i="1"/>
  <c r="T20" i="1"/>
  <c r="Y20" i="1" s="1"/>
  <c r="T4" i="1"/>
  <c r="N89" i="1"/>
  <c r="N34" i="1"/>
  <c r="Y22" i="1"/>
  <c r="AF22" i="1" s="1"/>
  <c r="Y74" i="1"/>
  <c r="N26" i="1"/>
  <c r="U26" i="1"/>
  <c r="Y26" i="1" s="1"/>
  <c r="AF26" i="1" s="1"/>
  <c r="N71" i="1"/>
  <c r="T71" i="1"/>
  <c r="Y71" i="1" s="1"/>
  <c r="N14" i="1"/>
  <c r="T14" i="1"/>
  <c r="Y14" i="1" s="1"/>
  <c r="AF14" i="1" s="1"/>
  <c r="N85" i="1"/>
  <c r="T85" i="1"/>
  <c r="N78" i="1"/>
  <c r="T78" i="1"/>
  <c r="N28" i="1"/>
  <c r="U28" i="1"/>
  <c r="N73" i="1"/>
  <c r="T73" i="1"/>
  <c r="Y73" i="1" s="1"/>
  <c r="AF73" i="1" s="1"/>
  <c r="N61" i="1"/>
  <c r="T61" i="1"/>
  <c r="Y61" i="1" s="1"/>
  <c r="AF61" i="1" s="1"/>
  <c r="N42" i="1"/>
  <c r="U42" i="1"/>
  <c r="N16" i="1"/>
  <c r="T16" i="1"/>
  <c r="N87" i="1"/>
  <c r="T87" i="1"/>
  <c r="N75" i="1"/>
  <c r="U75" i="1"/>
  <c r="N46" i="1"/>
  <c r="X46" i="1"/>
  <c r="N44" i="1"/>
  <c r="V44" i="1"/>
  <c r="N18" i="1"/>
  <c r="U18" i="1"/>
  <c r="N77" i="1"/>
  <c r="V77" i="1"/>
  <c r="N63" i="1"/>
  <c r="T63" i="1"/>
  <c r="N48" i="1"/>
  <c r="N37" i="1"/>
  <c r="T37" i="1"/>
  <c r="N10" i="1"/>
  <c r="N82" i="1"/>
  <c r="T82" i="1"/>
  <c r="Y82" i="1" s="1"/>
  <c r="AF82" i="1" s="1"/>
  <c r="N79" i="1"/>
  <c r="W79" i="1"/>
  <c r="N51" i="1"/>
  <c r="T51" i="1"/>
  <c r="N25" i="1"/>
  <c r="T25" i="1"/>
  <c r="Y25" i="1" s="1"/>
  <c r="N91" i="1"/>
  <c r="T91" i="1"/>
  <c r="N65" i="1"/>
  <c r="T65" i="1"/>
  <c r="Y65" i="1" s="1"/>
  <c r="N58" i="1"/>
  <c r="T58" i="1"/>
  <c r="N83" i="1"/>
  <c r="N57" i="1"/>
  <c r="X57" i="1"/>
  <c r="N53" i="1"/>
  <c r="T53" i="1"/>
  <c r="N86" i="1"/>
  <c r="T86" i="1"/>
  <c r="N67" i="1"/>
  <c r="T67" i="1"/>
  <c r="N59" i="1"/>
  <c r="N62" i="1"/>
  <c r="T62" i="1"/>
  <c r="Y62" i="1" s="1"/>
  <c r="N36" i="1"/>
  <c r="T36" i="1"/>
  <c r="Y36" i="1" s="1"/>
  <c r="N81" i="1"/>
  <c r="T81" i="1"/>
  <c r="Y81" i="1" s="1"/>
  <c r="AF81" i="1" s="1"/>
  <c r="N69" i="1"/>
  <c r="T69" i="1"/>
  <c r="Y69" i="1" s="1"/>
  <c r="N50" i="1"/>
  <c r="T50" i="1"/>
  <c r="N24" i="1"/>
  <c r="T24" i="1"/>
  <c r="Y24" i="1" s="1"/>
  <c r="N12" i="1"/>
  <c r="T12" i="1"/>
  <c r="Y12" i="1" s="1"/>
  <c r="AF12" i="1" s="1"/>
  <c r="N5" i="1"/>
  <c r="T5" i="1"/>
  <c r="Y5" i="1" s="1"/>
  <c r="N84" i="1"/>
  <c r="N60" i="1"/>
  <c r="N88" i="1"/>
  <c r="N64" i="1"/>
  <c r="N30" i="1"/>
  <c r="N90" i="1"/>
  <c r="N66" i="1"/>
  <c r="N39" i="1"/>
  <c r="N4" i="1"/>
  <c r="N68" i="1"/>
  <c r="N32" i="1"/>
  <c r="N20" i="1"/>
  <c r="N70" i="1"/>
  <c r="N27" i="1"/>
  <c r="N22" i="1"/>
  <c r="N13" i="1"/>
  <c r="N6" i="1"/>
  <c r="N72" i="1"/>
  <c r="N52" i="1"/>
  <c r="N74" i="1"/>
  <c r="N29" i="1"/>
  <c r="N8" i="1"/>
  <c r="N76" i="1"/>
  <c r="N54" i="1"/>
  <c r="N45" i="1"/>
  <c r="N38" i="1"/>
  <c r="N47" i="1"/>
  <c r="N80" i="1"/>
  <c r="N56" i="1"/>
  <c r="N49" i="1"/>
  <c r="N40" i="1"/>
  <c r="N55" i="1"/>
  <c r="N31" i="1"/>
  <c r="N7" i="1"/>
  <c r="N33" i="1"/>
  <c r="N9" i="1"/>
  <c r="N35" i="1"/>
  <c r="N11" i="1"/>
  <c r="N15" i="1"/>
  <c r="N41" i="1"/>
  <c r="N17" i="1"/>
  <c r="N43" i="1"/>
  <c r="N19" i="1"/>
  <c r="N21" i="1"/>
  <c r="N23" i="1"/>
  <c r="Y7" i="1" l="1"/>
  <c r="Y31" i="1"/>
  <c r="AF31" i="1" s="1"/>
  <c r="Y77" i="1"/>
  <c r="AF77" i="1" s="1"/>
  <c r="Y23" i="1"/>
  <c r="AF23" i="1" s="1"/>
  <c r="D14" i="6"/>
  <c r="Y19" i="1"/>
  <c r="AF19" i="1" s="1"/>
  <c r="Y29" i="1"/>
  <c r="AF29" i="1" s="1"/>
  <c r="Y10" i="1"/>
  <c r="Y80" i="1"/>
  <c r="AF80" i="1" s="1"/>
  <c r="Y32" i="1"/>
  <c r="AF32" i="1" s="1"/>
  <c r="Y46" i="1"/>
  <c r="AF46" i="1" s="1"/>
  <c r="Y13" i="1"/>
  <c r="AF13" i="1" s="1"/>
  <c r="Y11" i="1"/>
  <c r="AF11" i="1" s="1"/>
  <c r="Y47" i="1"/>
  <c r="AF47" i="1" s="1"/>
  <c r="Y90" i="1"/>
  <c r="AF90" i="1" s="1"/>
  <c r="Y18" i="1"/>
  <c r="AF18" i="1" s="1"/>
  <c r="Y55" i="1"/>
  <c r="AG55" i="1" s="1"/>
  <c r="Y54" i="1"/>
  <c r="AF54" i="1" s="1"/>
  <c r="Y17" i="1"/>
  <c r="AF17" i="1" s="1"/>
  <c r="Y27" i="1"/>
  <c r="AF27" i="1" s="1"/>
  <c r="Y30" i="1"/>
  <c r="AF30" i="1" s="1"/>
  <c r="Y48" i="1"/>
  <c r="AF48" i="1" s="1"/>
  <c r="Y35" i="1"/>
  <c r="AF35" i="1" s="1"/>
  <c r="Y79" i="1"/>
  <c r="AF79" i="1" s="1"/>
  <c r="Y42" i="1"/>
  <c r="AF42" i="1" s="1"/>
  <c r="Y43" i="1"/>
  <c r="AF43" i="1" s="1"/>
  <c r="AG33" i="1"/>
  <c r="AH33" i="1" s="1"/>
  <c r="Y41" i="1"/>
  <c r="AF41" i="1" s="1"/>
  <c r="Y15" i="1"/>
  <c r="AF15" i="1" s="1"/>
  <c r="Y59" i="1"/>
  <c r="AF59" i="1" s="1"/>
  <c r="Y6" i="1"/>
  <c r="AG6" i="1" s="1"/>
  <c r="Y49" i="1"/>
  <c r="AF49" i="1" s="1"/>
  <c r="Y57" i="1"/>
  <c r="Y28" i="1"/>
  <c r="Y38" i="1"/>
  <c r="AF38" i="1" s="1"/>
  <c r="Y75" i="1"/>
  <c r="AF75" i="1" s="1"/>
  <c r="Y66" i="1"/>
  <c r="AF66" i="1" s="1"/>
  <c r="Y83" i="1"/>
  <c r="AF83" i="1" s="1"/>
  <c r="Y84" i="1"/>
  <c r="AF84" i="1" s="1"/>
  <c r="Y44" i="1"/>
  <c r="Y89" i="1"/>
  <c r="AF89" i="1" s="1"/>
  <c r="AF55" i="1"/>
  <c r="Y87" i="1"/>
  <c r="Y16" i="1"/>
  <c r="AG27" i="1"/>
  <c r="AH27" i="1" s="1"/>
  <c r="AG9" i="1"/>
  <c r="AH9" i="1" s="1"/>
  <c r="Y39" i="1"/>
  <c r="Y60" i="1"/>
  <c r="AF60" i="1" s="1"/>
  <c r="AG14" i="1"/>
  <c r="AH14" i="1" s="1"/>
  <c r="AF74" i="1"/>
  <c r="AG74" i="1"/>
  <c r="AG56" i="1"/>
  <c r="AH56" i="1" s="1"/>
  <c r="AF21" i="1"/>
  <c r="AG21" i="1"/>
  <c r="AF20" i="1"/>
  <c r="AG20" i="1"/>
  <c r="Y72" i="1"/>
  <c r="Y50" i="1"/>
  <c r="Y51" i="1"/>
  <c r="AF36" i="1"/>
  <c r="AG36" i="1"/>
  <c r="Y91" i="1"/>
  <c r="Y37" i="1"/>
  <c r="Y85" i="1"/>
  <c r="Y4" i="1"/>
  <c r="AG22" i="1"/>
  <c r="AG73" i="1"/>
  <c r="AG80" i="1"/>
  <c r="AF62" i="1"/>
  <c r="AG62" i="1"/>
  <c r="Y53" i="1"/>
  <c r="Y86" i="1"/>
  <c r="AF68" i="1"/>
  <c r="AG68" i="1"/>
  <c r="AF7" i="1"/>
  <c r="AG7" i="1"/>
  <c r="AG32" i="1"/>
  <c r="Y40" i="1"/>
  <c r="AG26" i="1"/>
  <c r="Y34" i="1"/>
  <c r="AG52" i="1"/>
  <c r="AF24" i="1"/>
  <c r="AG24" i="1"/>
  <c r="AF25" i="1"/>
  <c r="AG25" i="1"/>
  <c r="Y63" i="1"/>
  <c r="AF45" i="1"/>
  <c r="AG45" i="1"/>
  <c r="AF65" i="1"/>
  <c r="AG65" i="1"/>
  <c r="Y78" i="1"/>
  <c r="AF71" i="1"/>
  <c r="AG71" i="1"/>
  <c r="Y76" i="1"/>
  <c r="AG38" i="1"/>
  <c r="AG61" i="1"/>
  <c r="AG81" i="1"/>
  <c r="AG82" i="1"/>
  <c r="AF57" i="1"/>
  <c r="AG57" i="1"/>
  <c r="Y58" i="1"/>
  <c r="D20" i="6"/>
  <c r="AG12" i="1"/>
  <c r="AF5" i="1"/>
  <c r="AG5" i="1"/>
  <c r="AF69" i="1"/>
  <c r="AG69" i="1"/>
  <c r="Y67" i="1"/>
  <c r="AG42" i="1"/>
  <c r="AF10" i="1"/>
  <c r="AG10" i="1"/>
  <c r="AF70" i="1"/>
  <c r="AG70" i="1"/>
  <c r="AF6" i="1"/>
  <c r="AF88" i="1"/>
  <c r="AG88" i="1"/>
  <c r="AG8" i="1"/>
  <c r="AG64" i="1"/>
  <c r="AG54" i="1"/>
  <c r="AG19" i="1" l="1"/>
  <c r="AH19" i="1" s="1"/>
  <c r="AI19" i="1" s="1"/>
  <c r="AJ19" i="1" s="1"/>
  <c r="AG77" i="1"/>
  <c r="AG17" i="1"/>
  <c r="AH17" i="1" s="1"/>
  <c r="AG30" i="1"/>
  <c r="AG83" i="1"/>
  <c r="AH83" i="1" s="1"/>
  <c r="AI83" i="1" s="1"/>
  <c r="AJ83" i="1" s="1"/>
  <c r="AG49" i="1"/>
  <c r="AH49" i="1" s="1"/>
  <c r="AI49" i="1" s="1"/>
  <c r="AJ49" i="1" s="1"/>
  <c r="AG46" i="1"/>
  <c r="AG90" i="1"/>
  <c r="AH90" i="1" s="1"/>
  <c r="AI90" i="1" s="1"/>
  <c r="AJ90" i="1" s="1"/>
  <c r="AG23" i="1"/>
  <c r="AH23" i="1" s="1"/>
  <c r="AI23" i="1" s="1"/>
  <c r="AG31" i="1"/>
  <c r="AH31" i="1" s="1"/>
  <c r="AI31" i="1" s="1"/>
  <c r="AJ31" i="1" s="1"/>
  <c r="AG75" i="1"/>
  <c r="AH75" i="1" s="1"/>
  <c r="AI75" i="1" s="1"/>
  <c r="AJ75" i="1" s="1"/>
  <c r="AG11" i="1"/>
  <c r="AH11" i="1" s="1"/>
  <c r="AG15" i="1"/>
  <c r="AH15" i="1" s="1"/>
  <c r="AG29" i="1"/>
  <c r="AH29" i="1" s="1"/>
  <c r="AG13" i="1"/>
  <c r="AH13" i="1" s="1"/>
  <c r="AG89" i="1"/>
  <c r="AH89" i="1" s="1"/>
  <c r="AI89" i="1" s="1"/>
  <c r="AG79" i="1"/>
  <c r="AH79" i="1" s="1"/>
  <c r="AI79" i="1" s="1"/>
  <c r="AG84" i="1"/>
  <c r="AH84" i="1" s="1"/>
  <c r="AI84" i="1" s="1"/>
  <c r="AJ84" i="1" s="1"/>
  <c r="AG48" i="1"/>
  <c r="AH48" i="1" s="1"/>
  <c r="AI48" i="1" s="1"/>
  <c r="AG43" i="1"/>
  <c r="AH43" i="1" s="1"/>
  <c r="AI9" i="1"/>
  <c r="AJ9" i="1" s="1"/>
  <c r="AG41" i="1"/>
  <c r="AH41" i="1" s="1"/>
  <c r="AI14" i="1"/>
  <c r="AJ14" i="1" s="1"/>
  <c r="AG35" i="1"/>
  <c r="AH35" i="1" s="1"/>
  <c r="AI35" i="1" s="1"/>
  <c r="AJ35" i="1" s="1"/>
  <c r="AI33" i="1"/>
  <c r="AJ33" i="1" s="1"/>
  <c r="AG18" i="1"/>
  <c r="AH18" i="1" s="1"/>
  <c r="AI17" i="1"/>
  <c r="AG60" i="1"/>
  <c r="AH60" i="1" s="1"/>
  <c r="AH55" i="1"/>
  <c r="AI55" i="1" s="1"/>
  <c r="AJ55" i="1" s="1"/>
  <c r="AG59" i="1"/>
  <c r="AG66" i="1"/>
  <c r="AG47" i="1"/>
  <c r="AH47" i="1" s="1"/>
  <c r="AF44" i="1"/>
  <c r="AG44" i="1"/>
  <c r="AF28" i="1"/>
  <c r="AG28" i="1"/>
  <c r="AI27" i="1"/>
  <c r="AJ27" i="1" s="1"/>
  <c r="AI56" i="1"/>
  <c r="AJ56" i="1" s="1"/>
  <c r="AJ17" i="1"/>
  <c r="AH62" i="1"/>
  <c r="AF39" i="1"/>
  <c r="AG39" i="1"/>
  <c r="AF16" i="1"/>
  <c r="AG16" i="1"/>
  <c r="AF87" i="1"/>
  <c r="AG87" i="1"/>
  <c r="AH64" i="1"/>
  <c r="AH8" i="1"/>
  <c r="AI8" i="1" s="1"/>
  <c r="AH22" i="1"/>
  <c r="AI22" i="1" s="1"/>
  <c r="AH26" i="1"/>
  <c r="AI26" i="1" s="1"/>
  <c r="AJ26" i="1" s="1"/>
  <c r="AH52" i="1"/>
  <c r="AI52" i="1" s="1"/>
  <c r="AH77" i="1"/>
  <c r="AH10" i="1"/>
  <c r="AF67" i="1"/>
  <c r="AG67" i="1"/>
  <c r="AH71" i="1"/>
  <c r="AI71" i="1" s="1"/>
  <c r="AF78" i="1"/>
  <c r="AG78" i="1"/>
  <c r="AH7" i="1"/>
  <c r="AF53" i="1"/>
  <c r="AG53" i="1"/>
  <c r="AH38" i="1"/>
  <c r="AH61" i="1"/>
  <c r="AI61" i="1" s="1"/>
  <c r="AJ61" i="1" s="1"/>
  <c r="AF63" i="1"/>
  <c r="AG63" i="1"/>
  <c r="AH20" i="1"/>
  <c r="AI20" i="1" s="1"/>
  <c r="AJ20" i="1" s="1"/>
  <c r="AH81" i="1"/>
  <c r="AH88" i="1"/>
  <c r="AI88" i="1" s="1"/>
  <c r="D25" i="6"/>
  <c r="AH36" i="1"/>
  <c r="AI36" i="1" s="1"/>
  <c r="AJ36" i="1" s="1"/>
  <c r="AF51" i="1"/>
  <c r="AG51" i="1"/>
  <c r="AH73" i="1"/>
  <c r="AI73" i="1" s="1"/>
  <c r="AH80" i="1"/>
  <c r="AI80" i="1" s="1"/>
  <c r="AJ80" i="1" s="1"/>
  <c r="AH74" i="1"/>
  <c r="AF76" i="1"/>
  <c r="AG76" i="1"/>
  <c r="AH25" i="1"/>
  <c r="AI25" i="1" s="1"/>
  <c r="AF34" i="1"/>
  <c r="AG34" i="1"/>
  <c r="AF40" i="1"/>
  <c r="AG40" i="1"/>
  <c r="AH82" i="1"/>
  <c r="AF85" i="1"/>
  <c r="AG85" i="1"/>
  <c r="AH42" i="1"/>
  <c r="AI42" i="1" s="1"/>
  <c r="AH69" i="1"/>
  <c r="AI69" i="1" s="1"/>
  <c r="AJ69" i="1" s="1"/>
  <c r="AH12" i="1"/>
  <c r="AF50" i="1"/>
  <c r="AG50" i="1"/>
  <c r="AH45" i="1"/>
  <c r="AH24" i="1"/>
  <c r="AI24" i="1" s="1"/>
  <c r="AJ24" i="1" s="1"/>
  <c r="AH32" i="1"/>
  <c r="AI32" i="1" s="1"/>
  <c r="AH68" i="1"/>
  <c r="AI68" i="1" s="1"/>
  <c r="AF86" i="1"/>
  <c r="AG86" i="1"/>
  <c r="AF91" i="1"/>
  <c r="AG91" i="1"/>
  <c r="AH21" i="1"/>
  <c r="AI21" i="1" s="1"/>
  <c r="AJ21" i="1" s="1"/>
  <c r="AH6" i="1"/>
  <c r="AI6" i="1" s="1"/>
  <c r="AH5" i="1"/>
  <c r="AI5" i="1" s="1"/>
  <c r="AJ5" i="1" s="1"/>
  <c r="AF58" i="1"/>
  <c r="AG58" i="1"/>
  <c r="AH57" i="1"/>
  <c r="AI57" i="1" s="1"/>
  <c r="AF37" i="1"/>
  <c r="AG37" i="1"/>
  <c r="AF72" i="1"/>
  <c r="AG72" i="1"/>
  <c r="AH54" i="1"/>
  <c r="AH70" i="1"/>
  <c r="AH65" i="1"/>
  <c r="AI65" i="1" s="1"/>
  <c r="AJ65" i="1" s="1"/>
  <c r="AH46" i="1"/>
  <c r="AI46" i="1" s="1"/>
  <c r="AJ46" i="1" s="1"/>
  <c r="AF4" i="1"/>
  <c r="AG4" i="1"/>
  <c r="AH30" i="1"/>
  <c r="AI11" i="1" l="1"/>
  <c r="AJ11" i="1" s="1"/>
  <c r="D35" i="6"/>
  <c r="AI29" i="1"/>
  <c r="AJ29" i="1" s="1"/>
  <c r="AI82" i="1"/>
  <c r="AJ82" i="1" s="1"/>
  <c r="AH66" i="1"/>
  <c r="AI66" i="1" s="1"/>
  <c r="AI13" i="1"/>
  <c r="AJ13" i="1" s="1"/>
  <c r="D36" i="6" s="1"/>
  <c r="AI38" i="1"/>
  <c r="AJ38" i="1" s="1"/>
  <c r="AI10" i="1"/>
  <c r="AJ10" i="1" s="1"/>
  <c r="AI77" i="1"/>
  <c r="AJ77" i="1" s="1"/>
  <c r="AI62" i="1"/>
  <c r="AJ62" i="1" s="1"/>
  <c r="AJ32" i="1"/>
  <c r="AJ71" i="1"/>
  <c r="AI47" i="1"/>
  <c r="AJ47" i="1" s="1"/>
  <c r="AH59" i="1"/>
  <c r="AI59" i="1" s="1"/>
  <c r="AI54" i="1"/>
  <c r="AJ54" i="1" s="1"/>
  <c r="AJ57" i="1"/>
  <c r="AJ88" i="1"/>
  <c r="AJ52" i="1"/>
  <c r="AJ22" i="1"/>
  <c r="AJ23" i="1"/>
  <c r="AH28" i="1"/>
  <c r="AI28" i="1" s="1"/>
  <c r="AJ28" i="1" s="1"/>
  <c r="AI15" i="1"/>
  <c r="AJ15" i="1" s="1"/>
  <c r="AI70" i="1"/>
  <c r="AJ70" i="1" s="1"/>
  <c r="AI18" i="1"/>
  <c r="AJ18" i="1" s="1"/>
  <c r="AI45" i="1"/>
  <c r="AJ45" i="1" s="1"/>
  <c r="AI64" i="1"/>
  <c r="AJ64" i="1" s="1"/>
  <c r="AJ6" i="1"/>
  <c r="AJ79" i="1"/>
  <c r="AJ73" i="1"/>
  <c r="AJ8" i="1"/>
  <c r="AI74" i="1"/>
  <c r="AJ74" i="1" s="1"/>
  <c r="AI81" i="1"/>
  <c r="AJ81" i="1" s="1"/>
  <c r="AI41" i="1"/>
  <c r="AJ41" i="1" s="1"/>
  <c r="AI12" i="1"/>
  <c r="AJ12" i="1" s="1"/>
  <c r="AI43" i="1"/>
  <c r="AJ43" i="1" s="1"/>
  <c r="AI7" i="1"/>
  <c r="AJ7" i="1" s="1"/>
  <c r="AJ42" i="1"/>
  <c r="AJ68" i="1"/>
  <c r="AJ25" i="1"/>
  <c r="AJ48" i="1"/>
  <c r="AJ89" i="1"/>
  <c r="AI60" i="1"/>
  <c r="AJ60" i="1" s="1"/>
  <c r="AI30" i="1"/>
  <c r="AJ30" i="1" s="1"/>
  <c r="AH53" i="1"/>
  <c r="AI53" i="1" s="1"/>
  <c r="AJ53" i="1" s="1"/>
  <c r="AH44" i="1"/>
  <c r="AI44" i="1" s="1"/>
  <c r="AJ44" i="1" s="1"/>
  <c r="AH87" i="1"/>
  <c r="AI87" i="1" s="1"/>
  <c r="AJ87" i="1" s="1"/>
  <c r="AH16" i="1"/>
  <c r="AI16" i="1" s="1"/>
  <c r="AJ16" i="1" s="1"/>
  <c r="AH39" i="1"/>
  <c r="AI39" i="1" s="1"/>
  <c r="AJ39" i="1" s="1"/>
  <c r="AH50" i="1"/>
  <c r="AI50" i="1" s="1"/>
  <c r="AH63" i="1"/>
  <c r="AI63" i="1" s="1"/>
  <c r="AJ63" i="1" s="1"/>
  <c r="AH4" i="1"/>
  <c r="AI4" i="1" s="1"/>
  <c r="AH58" i="1"/>
  <c r="AH78" i="1"/>
  <c r="AI78" i="1" s="1"/>
  <c r="AH85" i="1"/>
  <c r="AI85" i="1" s="1"/>
  <c r="AH34" i="1"/>
  <c r="AI34" i="1" s="1"/>
  <c r="AJ34" i="1" s="1"/>
  <c r="AH91" i="1"/>
  <c r="AI91" i="1" s="1"/>
  <c r="AJ91" i="1" s="1"/>
  <c r="AH86" i="1"/>
  <c r="AI86" i="1" s="1"/>
  <c r="AH76" i="1"/>
  <c r="AH67" i="1"/>
  <c r="AI67" i="1" s="1"/>
  <c r="AH37" i="1"/>
  <c r="AI37" i="1" s="1"/>
  <c r="AJ37" i="1" s="1"/>
  <c r="AH51" i="1"/>
  <c r="D33" i="6"/>
  <c r="AH72" i="1"/>
  <c r="AH40" i="1"/>
  <c r="AI40" i="1" s="1"/>
  <c r="AJ40" i="1" s="1"/>
  <c r="D34" i="6"/>
  <c r="D32" i="6"/>
  <c r="AI72" i="1" l="1"/>
  <c r="AJ72" i="1" s="1"/>
  <c r="AJ59" i="1"/>
  <c r="AI51" i="1"/>
  <c r="AJ51" i="1" s="1"/>
  <c r="AJ66" i="1"/>
  <c r="AJ78" i="1"/>
  <c r="AJ50" i="1"/>
  <c r="AI76" i="1"/>
  <c r="AJ76" i="1" s="1"/>
  <c r="AI58" i="1"/>
  <c r="AJ58" i="1" s="1"/>
  <c r="AJ67" i="1"/>
  <c r="AJ4" i="1"/>
  <c r="AJ85" i="1"/>
  <c r="AJ86" i="1"/>
</calcChain>
</file>

<file path=xl/sharedStrings.xml><?xml version="1.0" encoding="utf-8"?>
<sst xmlns="http://schemas.openxmlformats.org/spreadsheetml/2006/main" count="645" uniqueCount="256">
  <si>
    <t>y</t>
  </si>
  <si>
    <t>x / y</t>
  </si>
  <si>
    <t>รพศ.</t>
  </si>
  <si>
    <t>รพช.</t>
  </si>
  <si>
    <t>รพท.</t>
  </si>
  <si>
    <t>นครพนม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</si>
  <si>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</si>
  <si>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</si>
  <si>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</si>
  <si>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</si>
  <si>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</si>
  <si>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</si>
  <si>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</si>
  <si>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</si>
  <si>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</si>
  <si>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</si>
  <si>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</si>
  <si>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</si>
  <si>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</si>
  <si>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</si>
  <si>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</si>
  <si>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</si>
  <si>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</si>
  <si>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</si>
  <si>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</si>
  <si>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</si>
  <si>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</si>
  <si>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</si>
  <si>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บึงกาฬ</t>
  </si>
  <si>
    <t>40840</t>
  </si>
  <si>
    <t>วังยาง,รพช.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</si>
  <si>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</si>
  <si>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</si>
  <si>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</si>
  <si>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</si>
  <si>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</si>
  <si>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</si>
  <si>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</si>
  <si>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</si>
  <si>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</si>
  <si>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</si>
  <si>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</si>
  <si>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</si>
  <si>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</si>
  <si>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</si>
  <si>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เลย</t>
  </si>
  <si>
    <t>11050</t>
  </si>
  <si>
    <t>บุ่งคล้า,รพช.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</si>
  <si>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</si>
  <si>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</si>
  <si>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</si>
  <si>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</si>
  <si>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</si>
  <si>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</si>
  <si>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</si>
  <si>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</si>
  <si>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</si>
  <si>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</si>
  <si>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</si>
  <si>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</si>
  <si>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</si>
  <si>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</si>
  <si>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</si>
  <si>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</si>
  <si>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</si>
  <si>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</si>
  <si>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</si>
  <si>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</si>
  <si>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</si>
  <si>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</si>
  <si>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</si>
  <si>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</si>
  <si>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</si>
  <si>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</si>
  <si>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สกลนคร</t>
  </si>
  <si>
    <t>28861</t>
  </si>
  <si>
    <t>หนองหิน,รพช.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</si>
  <si>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</si>
  <si>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</si>
  <si>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</si>
  <si>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</si>
  <si>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</si>
  <si>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</si>
  <si>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</si>
  <si>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</si>
  <si>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</si>
  <si>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</si>
  <si>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</si>
  <si>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</si>
  <si>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</si>
  <si>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</si>
  <si>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</si>
  <si>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วานรนิวาส,รพช.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</si>
  <si>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</si>
  <si>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</si>
  <si>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</si>
  <si>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</si>
  <si>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</si>
  <si>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</si>
  <si>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</si>
  <si>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</si>
  <si>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</si>
  <si>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</si>
  <si>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</si>
  <si>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</si>
  <si>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</si>
  <si>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</si>
  <si>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</si>
  <si>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</si>
  <si>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</si>
  <si>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</si>
  <si>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หนองคาย</t>
  </si>
  <si>
    <t>21323</t>
  </si>
  <si>
    <t>พระอาจารย์แบน  ธนากโร,รพช.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</si>
  <si>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</si>
  <si>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</si>
  <si>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</si>
  <si>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</si>
  <si>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</si>
  <si>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</si>
  <si>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</si>
  <si>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</si>
  <si>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</si>
  <si>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สมเด็จพระยุพราชท่าบ่อ,รพช.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</si>
  <si>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</si>
  <si>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</si>
  <si>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</si>
  <si>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</si>
  <si>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</si>
  <si>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</si>
  <si>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หนองบัวลำภู</t>
  </si>
  <si>
    <t>28815</t>
  </si>
  <si>
    <t>รัตนวาปี,รพช.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</si>
  <si>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</si>
  <si>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</si>
  <si>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</si>
  <si>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</si>
  <si>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</si>
  <si>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</si>
  <si>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</si>
  <si>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</si>
  <si>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</si>
  <si>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</si>
  <si>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อุดรธานี</t>
  </si>
  <si>
    <t>23367</t>
  </si>
  <si>
    <t>นาวัง เฉลิมพระเกียรติ 80 พรรษา,รพช.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</si>
  <si>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</si>
  <si>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</si>
  <si>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</si>
  <si>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</si>
  <si>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</si>
  <si>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</si>
  <si>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</si>
  <si>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</si>
  <si>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</si>
  <si>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</si>
  <si>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</si>
  <si>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</si>
  <si>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</si>
  <si>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</si>
  <si>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</si>
  <si>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</si>
  <si>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</si>
  <si>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</si>
  <si>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</si>
  <si>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</si>
  <si>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</si>
  <si>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</si>
  <si>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</si>
  <si>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</si>
  <si>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</si>
  <si>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</si>
  <si>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</si>
  <si>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</si>
  <si>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</si>
  <si>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</si>
  <si>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</si>
  <si>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</si>
  <si>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</si>
  <si>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</si>
  <si>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</si>
  <si>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</si>
  <si>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</si>
  <si>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</si>
  <si>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</si>
  <si>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</si>
  <si>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</si>
  <si>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</si>
  <si>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อัตราส่วนเงินสด (Cash Ratio) ณ พ.ค.</t>
  </si>
  <si>
    <t>X</t>
  </si>
  <si>
    <t>ค่า</t>
  </si>
  <si>
    <t>เงินสดและรายการเทียบเท่าเงินสด</t>
  </si>
  <si>
    <t>หนี้สินหมุนเวียน</t>
  </si>
  <si>
    <t>G1</t>
  </si>
  <si>
    <t>G2</t>
  </si>
  <si>
    <t>G3</t>
  </si>
  <si>
    <t>G4</t>
  </si>
  <si>
    <t>G5</t>
  </si>
  <si>
    <t>เขต</t>
  </si>
  <si>
    <t>จังหวัด</t>
  </si>
  <si>
    <t>รหัส</t>
  </si>
  <si>
    <t>หน่วยบริการ</t>
  </si>
  <si>
    <t>ประเภท</t>
  </si>
  <si>
    <t>ค่าจ้าง/ค่าตอบแทนค้างจ่าย</t>
  </si>
  <si>
    <t>ค่าสาธารณูปโภคค้างจ่าย</t>
  </si>
  <si>
    <t>เจ้าหนี้การค้า</t>
  </si>
  <si>
    <t>เจ้าหนี้ค่ารักษาพยาบาลตามจ่าย</t>
  </si>
  <si>
    <t>อื่น</t>
  </si>
  <si>
    <t>รวมหนี้สินหมุนเวียน</t>
  </si>
  <si>
    <t>ระยะเวลาถัวเฉลี่ยในการชำระหนี้สิน (วัน)</t>
  </si>
  <si>
    <t>แผนการจ่ายหนี้สินเดือน มิย.65</t>
  </si>
  <si>
    <t>ประมาณการหนี้สินเพิ่มขึ้น</t>
  </si>
  <si>
    <t>คชจ.ประจำที่จ่ายเงิน*3 เดือน</t>
  </si>
  <si>
    <t>รวม</t>
  </si>
  <si>
    <t>จำนวนเงินที่สามารถลงทุนเพิ่ม</t>
  </si>
  <si>
    <t>Cash Ratio หลังจากลงทุนเพิ่ม</t>
  </si>
  <si>
    <t>บาท</t>
  </si>
  <si>
    <t>เท่า</t>
  </si>
  <si>
    <t>วัน</t>
  </si>
  <si>
    <t>จำนวนเงินที่สามารถลงทุนเพิ่ม ยอดบวก</t>
  </si>
  <si>
    <t xml:space="preserve">อัตราส่วนเงินสด (Cash Ratio) </t>
  </si>
  <si>
    <t>หลักการบริหารหนี้สินและวิเคราะห์การลงทุนเพิ่ม</t>
  </si>
  <si>
    <t>1. ข้อมูล Cash Ratio ณ เดือน พ.ค.65</t>
  </si>
  <si>
    <t>ข้อมูลค่าใช้จ่ายที่จำเป็น ตั้งแต่ ต.ค.64-พ.ค.65  นำมาคำนวณเป็นค่าใช้จ่ายจำเป็น 3 เดือน</t>
  </si>
  <si>
    <t>2. โรงพยาบาล วางแผนชำระหนี้ ว่าจะจ่ายหนี้เท่าใด</t>
  </si>
  <si>
    <t>ให้แบ่งกลุ่มหนี้สิน บริหารใน 3 กลุ่มนี้เป็นพิเศษ</t>
  </si>
  <si>
    <t xml:space="preserve">   2.1 กลุ่มหนี้สินอายุ มากกว่า 365 วัน</t>
  </si>
  <si>
    <t xml:space="preserve">   2.2 กลุ่มหนี้สินอายุ 180-365 วัน</t>
  </si>
  <si>
    <t xml:space="preserve">   2.3 กลุ่มหนี้สิน อายุ 90-180 วัน</t>
  </si>
  <si>
    <t>3. โรงพยาบาลประมาณว่าจะก่อหนี้เพิ่มขึ้นเท่าใด</t>
  </si>
  <si>
    <t>ข้อมูลหนี้สิน 4 กลุ่ม ค่าตอบแทนค้างจ่าย ค่าสาธารณูปโภคค้างจ่าย เจ้าหนี้ค่ารักษาตามจ่าย และ เจ้าหนี้การค้า เดือน พ.ค.65</t>
  </si>
  <si>
    <t>4. รพ. กรอกข้อมูล คอลัมภ์ T ถึง X     และ คอลัมภ์ Z ถึง AD</t>
  </si>
  <si>
    <t>5. ตั้งค่า Cash Ratio = 2.0 หลังจาก  หลังจากทำข้อ 4</t>
  </si>
  <si>
    <t>เพื่อตรวจสอบว่า รพ.สามารถลงทุนในสภาพคล่องส่วนเกินได้หรือไม่</t>
  </si>
  <si>
    <t>5.1 ถ้าเงินที่ลงทุนได้ ติดลบ ไม่สามารถลงทุนได้</t>
  </si>
  <si>
    <t>5.2 ถ้าเงินที่ลงทุนได้ เป็นบวก สามารถลงทุนได้</t>
  </si>
  <si>
    <t>รายละเอียดหนี้สินหมุนเวียน พ.ค. 65  (Y)</t>
  </si>
  <si>
    <t>ค่าตอบแทนค้างจ่าย/ค่าจ้าง</t>
  </si>
  <si>
    <t>ดูที่คอลัมภ์ AJ</t>
  </si>
  <si>
    <t>รายละเอียดหนี้สินหมุนเวียน (Y) พ.ค.65</t>
  </si>
  <si>
    <t>อัตราส่วนเงินสด (Cash Ratio) ณ พ.ค.65</t>
  </si>
  <si>
    <r>
      <t xml:space="preserve">ประมาณการหนี้สินเพิ่มขึ้น </t>
    </r>
    <r>
      <rPr>
        <b/>
        <sz val="11"/>
        <color rgb="FFFF0000"/>
        <rFont val="Calibri"/>
        <family val="2"/>
        <scheme val="minor"/>
      </rPr>
      <t xml:space="preserve"> (รพ.กรอกข้อมูล)</t>
    </r>
  </si>
  <si>
    <r>
      <t xml:space="preserve">แผนการจ่ายหนี้สินเดือน มิย.65  </t>
    </r>
    <r>
      <rPr>
        <b/>
        <sz val="11"/>
        <color rgb="FFFF0000"/>
        <rFont val="Calibri"/>
        <family val="2"/>
        <scheme val="minor"/>
      </rPr>
      <t>(รพ. กรอกข้อมูล)</t>
    </r>
  </si>
  <si>
    <t>ดูที่คอลัมภ์ AI</t>
  </si>
  <si>
    <t>กรอกข้อมูล คอลัมภ์ Z ถึง AD ที่ชีช data_ชีชกรอกข้อมูล</t>
  </si>
  <si>
    <t>กรอกข้อมูล คอลัมภ์ T ถึง X  ที่ชีช data_ชีชกรอกข้อมูล</t>
  </si>
  <si>
    <t>ข้อมูลปรับได้ตามบริพทของพื้นที่</t>
  </si>
  <si>
    <t>รายละเอียดประกอบ</t>
  </si>
  <si>
    <t xml:space="preserve">ชีช_ คชจ.ที่จำเป็น </t>
  </si>
  <si>
    <t>ชีช_ group day</t>
  </si>
  <si>
    <t>ชีชหลัก</t>
  </si>
  <si>
    <t>ชีช_คำแนะนำ</t>
  </si>
  <si>
    <t>ชีช_สรุปข้อมูล</t>
  </si>
  <si>
    <t>ชีช_data_ชีชกรอกข้อมูล</t>
  </si>
  <si>
    <t>ชีช_ y  ข้อมูลหนี้สิน</t>
  </si>
  <si>
    <t>ชีช_ day  ข้อมูลระยะเวลาจ่ายชำระหนี้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</si>
</sst>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40" fontId="0" fillId="0" borderId="0" xfId="0" applyNumberFormat="1"/>
    <xf numFmtId="164" fontId="0" fillId="0" borderId="0" xfId="1" applyFont="1"/>
    <xf numFmtId="40" fontId="2" fillId="0" borderId="0" xfId="0" applyNumberFormat="1" applyFont="1"/>
    <xf numFmtId="0" fontId="0" fillId="0" borderId="0" xfId="0" applyAlignment="1">
      <alignment horizontal="center" vertical="center" wrapText="1"/>
    </xf>
    <xf numFmtId="38" fontId="0" fillId="0" borderId="0" xfId="0" applyNumberFormat="1"/>
    <xf numFmtId="38" fontId="0" fillId="0" borderId="0" xfId="0" applyNumberFormat="1" applyAlignment="1">
      <alignment horizontal="center"/>
    </xf>
    <xf numFmtId="38" fontId="0" fillId="0" borderId="0" xfId="0" applyNumberFormat="1" applyAlignment="1">
      <alignment horizontal="right"/>
    </xf>
    <xf numFmtId="38" fontId="0" fillId="6" borderId="0" xfId="0" applyNumberFormat="1" applyFill="1" applyAlignment="1">
      <alignment horizontal="right"/>
    </xf>
    <xf numFmtId="40" fontId="0" fillId="2" borderId="0" xfId="0" applyNumberFormat="1" applyFill="1"/>
    <xf numFmtId="164" fontId="0" fillId="0" borderId="0" xfId="0" applyNumberFormat="1"/>
    <xf numFmtId="40" fontId="2" fillId="2" borderId="0" xfId="0" applyNumberFormat="1" applyFont="1" applyFill="1"/>
    <xf numFmtId="38" fontId="2" fillId="6" borderId="0" xfId="0" applyNumberFormat="1" applyFont="1" applyFill="1" applyAlignment="1">
      <alignment horizontal="right"/>
    </xf>
    <xf numFmtId="40" fontId="0" fillId="8" borderId="0" xfId="0" applyNumberFormat="1" applyFill="1"/>
    <xf numFmtId="40" fontId="0" fillId="8" borderId="0" xfId="1" applyNumberFormat="1" applyFont="1" applyFill="1"/>
    <xf numFmtId="164" fontId="0" fillId="9" borderId="0" xfId="1" applyFont="1" applyFill="1"/>
    <xf numFmtId="40" fontId="0" fillId="0" borderId="0" xfId="0" applyNumberFormat="1" applyAlignme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40" fontId="0" fillId="0" borderId="0" xfId="0" applyNumberFormat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164" fontId="0" fillId="7" borderId="0" xfId="1" applyFont="1" applyFill="1" applyAlignment="1">
      <alignment horizontal="left" vertical="top" wrapText="1"/>
    </xf>
    <xf numFmtId="40" fontId="0" fillId="7" borderId="0" xfId="1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40" fontId="0" fillId="0" borderId="0" xfId="0" applyNumberFormat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5" borderId="0" xfId="0" applyFill="1" applyAlignment="1">
      <alignment horizontal="left" vertical="top"/>
    </xf>
    <xf numFmtId="164" fontId="0" fillId="7" borderId="0" xfId="1" applyFont="1" applyFill="1" applyAlignment="1">
      <alignment horizontal="left" vertical="top"/>
    </xf>
    <xf numFmtId="40" fontId="0" fillId="7" borderId="0" xfId="1" applyNumberFormat="1" applyFont="1" applyFill="1" applyAlignment="1">
      <alignment horizontal="left" vertical="top"/>
    </xf>
    <xf numFmtId="40" fontId="0" fillId="0" borderId="0" xfId="0" applyNumberFormat="1" applyAlignment="1">
      <alignment horizontal="right"/>
    </xf>
    <xf numFmtId="38" fontId="0" fillId="8" borderId="0" xfId="0" applyNumberFormat="1" applyFill="1" applyAlignment="1">
      <alignment horizontal="right"/>
    </xf>
    <xf numFmtId="40" fontId="0" fillId="8" borderId="0" xfId="0" applyNumberFormat="1" applyFill="1" applyAlignment="1">
      <alignment horizontal="right"/>
    </xf>
    <xf numFmtId="40" fontId="0" fillId="10" borderId="0" xfId="0" applyNumberFormat="1" applyFill="1" applyAlignment="1">
      <alignment horizontal="right"/>
    </xf>
    <xf numFmtId="164" fontId="0" fillId="9" borderId="0" xfId="1" applyFont="1" applyFill="1" applyAlignment="1">
      <alignment horizontal="right"/>
    </xf>
    <xf numFmtId="164" fontId="0" fillId="2" borderId="0" xfId="1" applyFont="1" applyFill="1" applyAlignment="1">
      <alignment horizontal="right"/>
    </xf>
    <xf numFmtId="164" fontId="0" fillId="6" borderId="0" xfId="1" applyFont="1" applyFill="1" applyAlignment="1">
      <alignment horizontal="right"/>
    </xf>
    <xf numFmtId="0" fontId="3" fillId="11" borderId="0" xfId="0" applyFont="1" applyFill="1" applyAlignment="1">
      <alignment horizontal="right" vertical="center" wrapText="1"/>
    </xf>
    <xf numFmtId="0" fontId="3" fillId="11" borderId="0" xfId="0" applyFont="1" applyFill="1" applyAlignment="1">
      <alignment horizontal="left" vertical="top"/>
    </xf>
    <xf numFmtId="0" fontId="0" fillId="13" borderId="0" xfId="0" applyFill="1" applyAlignment="1">
      <alignment horizontal="center" vertical="center" wrapText="1"/>
    </xf>
    <xf numFmtId="0" fontId="0" fillId="14" borderId="0" xfId="0" applyFill="1" applyAlignment="1">
      <alignment horizontal="center"/>
    </xf>
    <xf numFmtId="0" fontId="0" fillId="14" borderId="0" xfId="0" applyFill="1" applyAlignment="1">
      <alignment horizontal="center" vertical="center" wrapText="1"/>
    </xf>
    <xf numFmtId="164" fontId="0" fillId="15" borderId="0" xfId="1" applyFont="1" applyFill="1" applyAlignment="1">
      <alignment horizontal="center" vertical="center"/>
    </xf>
    <xf numFmtId="40" fontId="0" fillId="15" borderId="0" xfId="1" applyNumberFormat="1" applyFont="1" applyFill="1" applyAlignment="1">
      <alignment horizontal="center" vertical="center"/>
    </xf>
    <xf numFmtId="164" fontId="0" fillId="15" borderId="0" xfId="1" applyFont="1" applyFill="1" applyAlignment="1">
      <alignment horizontal="center" vertical="top" wrapText="1"/>
    </xf>
    <xf numFmtId="0" fontId="0" fillId="4" borderId="0" xfId="0" applyFill="1" applyAlignment="1">
      <alignment vertical="center" wrapText="1"/>
    </xf>
    <xf numFmtId="0" fontId="0" fillId="13" borderId="0" xfId="0" applyFill="1" applyAlignment="1">
      <alignment horizontal="center"/>
    </xf>
    <xf numFmtId="0" fontId="0" fillId="16" borderId="0" xfId="0" applyFill="1"/>
    <xf numFmtId="0" fontId="4" fillId="16" borderId="0" xfId="0" applyFont="1" applyFill="1"/>
    <xf numFmtId="0" fontId="5" fillId="0" borderId="0" xfId="0" applyFont="1"/>
    <xf numFmtId="0" fontId="5" fillId="16" borderId="0" xfId="0" applyFont="1" applyFill="1"/>
    <xf numFmtId="0" fontId="6" fillId="0" borderId="0" xfId="0" applyFont="1"/>
    <xf numFmtId="40" fontId="0" fillId="16" borderId="0" xfId="0" applyNumberFormat="1" applyFill="1" applyAlignment="1">
      <alignment horizontal="center"/>
    </xf>
    <xf numFmtId="40" fontId="0" fillId="16" borderId="0" xfId="0" applyNumberFormat="1" applyFill="1" applyAlignment="1">
      <alignment horizontal="center" vertical="center" wrapText="1"/>
    </xf>
    <xf numFmtId="40" fontId="0" fillId="13" borderId="0" xfId="0" applyNumberFormat="1" applyFill="1" applyAlignment="1">
      <alignment horizontal="center"/>
    </xf>
    <xf numFmtId="40" fontId="0" fillId="13" borderId="0" xfId="0" applyNumberFormat="1" applyFill="1" applyAlignment="1">
      <alignment horizontal="center" vertical="center" wrapText="1"/>
    </xf>
    <xf numFmtId="0" fontId="0" fillId="16" borderId="0" xfId="0" applyFill="1" applyAlignment="1">
      <alignment horizontal="center"/>
    </xf>
    <xf numFmtId="0" fontId="0" fillId="16" borderId="0" xfId="0" applyFill="1" applyAlignment="1">
      <alignment horizontal="center" vertical="center" wrapText="1"/>
    </xf>
    <xf numFmtId="0" fontId="0" fillId="9" borderId="0" xfId="0" applyFill="1" applyAlignment="1">
      <alignment vertical="center" wrapText="1"/>
    </xf>
    <xf numFmtId="40" fontId="0" fillId="16" borderId="0" xfId="0" applyNumberFormat="1" applyFill="1" applyAlignment="1">
      <alignment vertical="center" wrapText="1"/>
    </xf>
    <xf numFmtId="0" fontId="0" fillId="16" borderId="0" xfId="0" applyFill="1" applyAlignment="1">
      <alignment vertical="center" wrapText="1"/>
    </xf>
    <xf numFmtId="40" fontId="0" fillId="17" borderId="0" xfId="0" applyNumberFormat="1" applyFill="1" applyAlignment="1">
      <alignment vertical="center" wrapText="1"/>
    </xf>
    <xf numFmtId="0" fontId="0" fillId="17" borderId="0" xfId="0" applyFill="1" applyAlignment="1">
      <alignment vertical="center" wrapText="1"/>
    </xf>
    <xf numFmtId="49" fontId="3" fillId="11" borderId="0" xfId="0" applyNumberFormat="1" applyFont="1" applyFill="1" applyAlignment="1">
      <alignment horizontal="center" vertical="top"/>
    </xf>
    <xf numFmtId="0" fontId="0" fillId="0" borderId="0" xfId="0" applyFill="1"/>
    <xf numFmtId="0" fontId="5" fillId="18" borderId="0" xfId="0" applyFont="1" applyFill="1"/>
    <xf numFmtId="0" fontId="0" fillId="18" borderId="0" xfId="0" applyFill="1"/>
    <xf numFmtId="0" fontId="5" fillId="0" borderId="0" xfId="0" applyFont="1" applyFill="1"/>
    <xf numFmtId="0" fontId="0" fillId="0" borderId="0" xfId="0" applyFont="1"/>
    <xf numFmtId="164" fontId="0" fillId="7" borderId="0" xfId="1" applyFont="1" applyFill="1" applyAlignment="1">
      <alignment horizontal="left" vertical="top"/>
    </xf>
    <xf numFmtId="40" fontId="0" fillId="1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0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top"/>
    </xf>
    <xf numFmtId="0" fontId="0" fillId="5" borderId="0" xfId="0" applyFill="1" applyAlignment="1">
      <alignment horizontal="left" vertical="top"/>
    </xf>
    <xf numFmtId="40" fontId="0" fillId="12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164" fontId="0" fillId="7" borderId="0" xfId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99CC"/>
      <color rgb="FFCCFFCC"/>
      <color rgb="FFCC99FF"/>
      <color rgb="FF66FFCC"/>
      <color rgb="FF00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201D-2FAE-4467-8BA6-A378FE03B26C}">
  <dimension ref="C1:N26"/>
  <sheetViews>
    <sheetView topLeftCell="A11" workbookViewId="0">
      <selection activeCell="N23" sqref="N23"/>
    </sheetView>
  </sheetViews>
  <sheetFormatPr defaultRowHeight="14.4"/>
  <sheetData>
    <row r="1" spans="3:14" ht="21">
      <c r="C1" s="52" t="s">
        <v>221</v>
      </c>
    </row>
    <row r="2" spans="3:14" ht="20.399999999999999">
      <c r="C2" s="51" t="s">
        <v>222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3:14" ht="20.399999999999999">
      <c r="C3" s="51" t="s">
        <v>230</v>
      </c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3:14" ht="20.399999999999999">
      <c r="C4" s="51" t="s">
        <v>223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t="s">
        <v>246</v>
      </c>
    </row>
    <row r="5" spans="3:14" ht="20.399999999999999">
      <c r="C5" s="50"/>
    </row>
    <row r="6" spans="3:14" ht="20.399999999999999">
      <c r="C6" s="51" t="s">
        <v>224</v>
      </c>
      <c r="D6" s="48"/>
      <c r="E6" s="48"/>
      <c r="F6" s="48"/>
      <c r="G6" s="48"/>
      <c r="H6" s="49" t="s">
        <v>245</v>
      </c>
      <c r="I6" s="48"/>
      <c r="J6" s="48"/>
      <c r="K6" s="48"/>
      <c r="L6" s="48"/>
      <c r="M6" s="48"/>
      <c r="N6" t="s">
        <v>246</v>
      </c>
    </row>
    <row r="7" spans="3:14" ht="20.399999999999999">
      <c r="C7" s="51" t="s">
        <v>225</v>
      </c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3:14" ht="20.399999999999999">
      <c r="C8" s="51" t="s">
        <v>226</v>
      </c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3:14" ht="20.399999999999999">
      <c r="C9" s="51" t="s">
        <v>227</v>
      </c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3:14" ht="20.399999999999999">
      <c r="C10" s="51" t="s">
        <v>228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3:14" ht="20.399999999999999">
      <c r="C11" s="50"/>
    </row>
    <row r="12" spans="3:14" ht="20.399999999999999">
      <c r="C12" s="51" t="s">
        <v>229</v>
      </c>
      <c r="D12" s="48"/>
      <c r="E12" s="48"/>
      <c r="F12" s="48"/>
      <c r="G12" s="48"/>
      <c r="H12" s="49" t="s">
        <v>244</v>
      </c>
      <c r="I12" s="48"/>
      <c r="J12" s="48"/>
      <c r="K12" s="48"/>
      <c r="L12" s="48"/>
      <c r="M12" s="48"/>
      <c r="N12" t="s">
        <v>246</v>
      </c>
    </row>
    <row r="13" spans="3:14" ht="20.399999999999999">
      <c r="C13" s="50"/>
    </row>
    <row r="14" spans="3:14" ht="20.399999999999999">
      <c r="C14" s="51" t="s">
        <v>231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3:14" ht="20.399999999999999">
      <c r="C15" s="50"/>
    </row>
    <row r="16" spans="3:14" ht="20.399999999999999">
      <c r="C16" s="51" t="s">
        <v>232</v>
      </c>
      <c r="D16" s="48"/>
      <c r="E16" s="48"/>
      <c r="F16" s="48"/>
      <c r="G16" s="48"/>
      <c r="H16" s="48"/>
      <c r="I16" s="49" t="s">
        <v>238</v>
      </c>
      <c r="J16" s="48"/>
      <c r="K16" s="48"/>
      <c r="L16" s="48"/>
      <c r="M16" s="48"/>
      <c r="N16" t="s">
        <v>246</v>
      </c>
    </row>
    <row r="17" spans="3:13" ht="20.399999999999999">
      <c r="C17" s="51" t="s">
        <v>233</v>
      </c>
      <c r="D17" s="48"/>
      <c r="E17" s="48"/>
      <c r="F17" s="48"/>
      <c r="G17" s="48"/>
      <c r="H17" s="48"/>
      <c r="I17" s="49" t="s">
        <v>243</v>
      </c>
      <c r="J17" s="48"/>
      <c r="K17" s="48"/>
      <c r="L17" s="48"/>
      <c r="M17" s="48"/>
    </row>
    <row r="18" spans="3:13" ht="20.399999999999999">
      <c r="C18" s="51" t="s">
        <v>234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3:13" ht="20.399999999999999">
      <c r="C19" s="51" t="s">
        <v>235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2" spans="3:13" ht="20.399999999999999">
      <c r="C22" s="66" t="s">
        <v>250</v>
      </c>
      <c r="D22" s="67"/>
      <c r="F22" s="66" t="s">
        <v>247</v>
      </c>
      <c r="G22" s="67"/>
    </row>
    <row r="23" spans="3:13" ht="20.399999999999999">
      <c r="C23" s="68" t="s">
        <v>251</v>
      </c>
      <c r="D23" s="65"/>
      <c r="F23" s="69" t="s">
        <v>248</v>
      </c>
    </row>
    <row r="24" spans="3:13" ht="20.399999999999999">
      <c r="C24" s="68" t="s">
        <v>252</v>
      </c>
      <c r="D24" s="65"/>
      <c r="F24" s="69" t="s">
        <v>254</v>
      </c>
    </row>
    <row r="25" spans="3:13" ht="20.399999999999999">
      <c r="C25" s="68" t="s">
        <v>253</v>
      </c>
      <c r="D25" s="65"/>
      <c r="F25" s="69" t="s">
        <v>255</v>
      </c>
    </row>
    <row r="26" spans="3:13">
      <c r="F26" s="69" t="s">
        <v>249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workbookViewId="0">
      <selection activeCell="C16" sqref="C16"/>
    </sheetView>
  </sheetViews>
  <sheetFormatPr defaultRowHeight="14.4"/>
  <cols>
    <col min="1" max="1" width="32.5546875" style="18" customWidth="1"/>
    <col min="2" max="2" width="5.5546875" style="18" customWidth="1"/>
    <col min="3" max="3" width="28.6640625" style="25" customWidth="1"/>
    <col min="4" max="4" width="19.5546875" style="2" customWidth="1"/>
  </cols>
  <sheetData>
    <row r="1" spans="1:5" ht="15.6">
      <c r="A1" s="38" t="s">
        <v>198</v>
      </c>
      <c r="B1" s="39"/>
      <c r="C1" s="39">
        <f>VLOOKUP($C$3,data_ชีชกรอกข้อมูล!$C$4:$AL$91,35,0)</f>
        <v>8</v>
      </c>
    </row>
    <row r="2" spans="1:5" ht="15.6">
      <c r="A2" s="38" t="s">
        <v>199</v>
      </c>
      <c r="B2" s="39"/>
      <c r="C2" s="39" t="str">
        <f>VLOOKUP($C$3,data_ชีชกรอกข้อมูล!$C$4:$AL$91,36,0)</f>
        <v>เลย</v>
      </c>
    </row>
    <row r="3" spans="1:5" ht="15.6">
      <c r="A3" s="38" t="s">
        <v>200</v>
      </c>
      <c r="B3" s="39"/>
      <c r="C3" s="64" t="s">
        <v>66</v>
      </c>
    </row>
    <row r="4" spans="1:5" ht="15.6">
      <c r="A4" s="38" t="s">
        <v>201</v>
      </c>
      <c r="B4" s="39"/>
      <c r="C4" s="39" t="str">
        <f>VLOOKUP($C$3,data_ชีชกรอกข้อมูล!$C$4:$AL$91,2,0)</f>
        <v>ภูหลวง,รพช.</v>
      </c>
    </row>
    <row r="5" spans="1:5" ht="15.6">
      <c r="A5" s="38" t="s">
        <v>202</v>
      </c>
      <c r="B5" s="39"/>
      <c r="C5" s="39" t="str">
        <f>VLOOKUP($C$3,data_ชีชกรอกข้อมูล!$C$4:$AL$91,3,0)</f>
        <v>รพช.</v>
      </c>
    </row>
    <row r="6" spans="1:5" ht="28.8">
      <c r="A6" s="73" t="s">
        <v>240</v>
      </c>
      <c r="B6" s="26" t="s">
        <v>189</v>
      </c>
      <c r="C6" s="20" t="s">
        <v>191</v>
      </c>
      <c r="D6" s="31">
        <f>VLOOKUP($C$3,data_ชีชกรอกข้อมูล!$C$4:$AL$91,4,0)</f>
        <v>16401042.82</v>
      </c>
      <c r="E6" t="s">
        <v>216</v>
      </c>
    </row>
    <row r="7" spans="1:5">
      <c r="A7" s="73"/>
      <c r="B7" s="26" t="s">
        <v>0</v>
      </c>
      <c r="C7" s="20" t="s">
        <v>192</v>
      </c>
      <c r="D7" s="31">
        <f>VLOOKUP($C$3,data_ชีชกรอกข้อมูล!$C$4:$AL$91,5,0)</f>
        <v>14659641.07</v>
      </c>
      <c r="E7" t="s">
        <v>216</v>
      </c>
    </row>
    <row r="8" spans="1:5">
      <c r="A8" s="73"/>
      <c r="B8" s="26" t="s">
        <v>1</v>
      </c>
      <c r="C8" s="20" t="s">
        <v>190</v>
      </c>
      <c r="D8" s="31">
        <f>VLOOKUP($C$3,data_ชีชกรอกข้อมูล!$C$4:$AL$91,6,0)</f>
        <v>1.1200000000000001</v>
      </c>
      <c r="E8" t="s">
        <v>217</v>
      </c>
    </row>
    <row r="9" spans="1:5">
      <c r="A9" s="74" t="s">
        <v>239</v>
      </c>
      <c r="B9" s="26" t="s">
        <v>193</v>
      </c>
      <c r="C9" s="20" t="s">
        <v>203</v>
      </c>
      <c r="D9" s="31">
        <f>VLOOKUP($C$3,data_ชีชกรอกข้อมูล!$C$4:$AL$91,7,0)</f>
        <v>2453334</v>
      </c>
      <c r="E9" t="s">
        <v>216</v>
      </c>
    </row>
    <row r="10" spans="1:5">
      <c r="A10" s="74"/>
      <c r="B10" s="26" t="s">
        <v>194</v>
      </c>
      <c r="C10" s="20" t="s">
        <v>204</v>
      </c>
      <c r="D10" s="31">
        <f>VLOOKUP($C$3,data_ชีชกรอกข้อมูล!$C$4:$AL$91,8,0)</f>
        <v>171635.07</v>
      </c>
      <c r="E10" t="s">
        <v>216</v>
      </c>
    </row>
    <row r="11" spans="1:5">
      <c r="A11" s="74"/>
      <c r="B11" s="26" t="s">
        <v>195</v>
      </c>
      <c r="C11" s="20" t="s">
        <v>205</v>
      </c>
      <c r="D11" s="31">
        <f>VLOOKUP($C$3,data_ชีชกรอกข้อมูล!$C$4:$AL$91,9,0)</f>
        <v>8832889.8999999985</v>
      </c>
      <c r="E11" t="s">
        <v>216</v>
      </c>
    </row>
    <row r="12" spans="1:5">
      <c r="A12" s="74"/>
      <c r="B12" s="26" t="s">
        <v>196</v>
      </c>
      <c r="C12" s="20" t="s">
        <v>206</v>
      </c>
      <c r="D12" s="31">
        <f>VLOOKUP($C$3,data_ชีชกรอกข้อมูล!$C$4:$AL$91,10,0)</f>
        <v>0</v>
      </c>
      <c r="E12" t="s">
        <v>216</v>
      </c>
    </row>
    <row r="13" spans="1:5">
      <c r="A13" s="74"/>
      <c r="B13" s="26" t="s">
        <v>197</v>
      </c>
      <c r="C13" s="20" t="s">
        <v>207</v>
      </c>
      <c r="D13" s="31">
        <f>VLOOKUP($C$3,data_ชีชกรอกข้อมูล!$C$4:$AL$91,11,0)</f>
        <v>3201782.1</v>
      </c>
      <c r="E13" t="s">
        <v>216</v>
      </c>
    </row>
    <row r="14" spans="1:5">
      <c r="B14" s="26" t="s">
        <v>208</v>
      </c>
      <c r="C14" s="19"/>
      <c r="D14" s="31">
        <f>VLOOKUP($C$3,data_ชีชกรอกข้อมูล!$C$4:$AL$91,12,0)</f>
        <v>14659641.069999998</v>
      </c>
      <c r="E14" t="s">
        <v>216</v>
      </c>
    </row>
    <row r="15" spans="1:5">
      <c r="A15" s="74" t="s">
        <v>209</v>
      </c>
      <c r="B15" s="18" t="s">
        <v>193</v>
      </c>
      <c r="C15" s="19" t="s">
        <v>203</v>
      </c>
      <c r="D15" s="8">
        <f>VLOOKUP($C$3,data_ชีชกรอกข้อมูล!$C$4:$AL$91,13,0)</f>
        <v>48</v>
      </c>
      <c r="E15" t="s">
        <v>218</v>
      </c>
    </row>
    <row r="16" spans="1:5">
      <c r="A16" s="74"/>
      <c r="B16" s="18" t="s">
        <v>194</v>
      </c>
      <c r="C16" s="19" t="s">
        <v>204</v>
      </c>
      <c r="D16" s="8">
        <f>VLOOKUP($C$3,data_ชีชกรอกข้อมูล!$C$4:$AL$91,14,0)</f>
        <v>44</v>
      </c>
      <c r="E16" t="s">
        <v>218</v>
      </c>
    </row>
    <row r="17" spans="1:5">
      <c r="A17" s="74"/>
      <c r="B17" s="18" t="s">
        <v>195</v>
      </c>
      <c r="C17" s="19" t="s">
        <v>205</v>
      </c>
      <c r="D17" s="8">
        <f>VLOOKUP($C$3,data_ชีชกรอกข้อมูล!$C$4:$AL$91,15,0)</f>
        <v>121</v>
      </c>
      <c r="E17" t="s">
        <v>218</v>
      </c>
    </row>
    <row r="18" spans="1:5">
      <c r="A18" s="74"/>
      <c r="B18" s="18" t="s">
        <v>196</v>
      </c>
      <c r="C18" s="19" t="s">
        <v>206</v>
      </c>
      <c r="D18" s="8">
        <f>VLOOKUP($C$3,data_ชีชกรอกข้อมูล!$C$4:$AL$91,16,0)</f>
        <v>0</v>
      </c>
      <c r="E18" t="s">
        <v>218</v>
      </c>
    </row>
    <row r="19" spans="1:5">
      <c r="A19" s="75" t="s">
        <v>212</v>
      </c>
      <c r="B19" s="75"/>
      <c r="C19" s="75"/>
      <c r="D19" s="35">
        <f>VLOOKUP($C$3,data_ชีชกรอกข้อมูล!$C$4:$AL$91,17,0)</f>
        <v>10359793.811250001</v>
      </c>
      <c r="E19" t="s">
        <v>216</v>
      </c>
    </row>
    <row r="20" spans="1:5">
      <c r="A20" s="76" t="s">
        <v>210</v>
      </c>
      <c r="B20" s="27" t="s">
        <v>193</v>
      </c>
      <c r="C20" s="21" t="s">
        <v>203</v>
      </c>
      <c r="D20" s="36">
        <f>VLOOKUP($C$3,data_ชีชกรอกข้อมูล!$C$4:$AL$91,18,0)</f>
        <v>2453334</v>
      </c>
      <c r="E20" t="s">
        <v>216</v>
      </c>
    </row>
    <row r="21" spans="1:5">
      <c r="A21" s="76"/>
      <c r="B21" s="27" t="s">
        <v>194</v>
      </c>
      <c r="C21" s="21" t="s">
        <v>204</v>
      </c>
      <c r="D21" s="36">
        <f>VLOOKUP($C$3,data_ชีชกรอกข้อมูล!$C$4:$AL$91,19,0)</f>
        <v>171635.07</v>
      </c>
      <c r="E21" t="s">
        <v>216</v>
      </c>
    </row>
    <row r="22" spans="1:5">
      <c r="A22" s="76"/>
      <c r="B22" s="27" t="s">
        <v>195</v>
      </c>
      <c r="C22" s="21" t="s">
        <v>205</v>
      </c>
      <c r="D22" s="36">
        <f>VLOOKUP($C$3,data_ชีชกรอกข้อมูล!$C$4:$AL$91,20,0)</f>
        <v>8832889.8999999985</v>
      </c>
      <c r="E22" t="s">
        <v>216</v>
      </c>
    </row>
    <row r="23" spans="1:5">
      <c r="A23" s="76"/>
      <c r="B23" s="27" t="s">
        <v>196</v>
      </c>
      <c r="C23" s="21" t="s">
        <v>206</v>
      </c>
      <c r="D23" s="36">
        <f>VLOOKUP($C$3,data_ชีชกรอกข้อมูล!$C$4:$AL$91,21,0)</f>
        <v>0</v>
      </c>
      <c r="E23" t="s">
        <v>216</v>
      </c>
    </row>
    <row r="24" spans="1:5">
      <c r="A24" s="76"/>
      <c r="B24" s="27" t="s">
        <v>197</v>
      </c>
      <c r="C24" s="21" t="s">
        <v>207</v>
      </c>
      <c r="D24" s="36">
        <f>VLOOKUP($C$3,data_ชีชกรอกข้อมูล!$C$4:$AL$91,22,0)</f>
        <v>3201782.1</v>
      </c>
      <c r="E24" t="s">
        <v>216</v>
      </c>
    </row>
    <row r="25" spans="1:5">
      <c r="A25" s="76"/>
      <c r="B25" s="27" t="s">
        <v>213</v>
      </c>
      <c r="C25" s="21"/>
      <c r="D25" s="36">
        <f>VLOOKUP($C$3,data_ชีชกรอกข้อมูล!$C$4:$AL$91,23,0)</f>
        <v>14659641.069999998</v>
      </c>
      <c r="E25" t="s">
        <v>216</v>
      </c>
    </row>
    <row r="26" spans="1:5">
      <c r="A26" s="77" t="s">
        <v>211</v>
      </c>
      <c r="B26" s="28" t="s">
        <v>193</v>
      </c>
      <c r="C26" s="22" t="s">
        <v>203</v>
      </c>
      <c r="D26" s="37">
        <f>VLOOKUP($C$3,data_ชีชกรอกข้อมูล!$C$4:$AL$91,24,0)</f>
        <v>1249743.75</v>
      </c>
      <c r="E26" t="s">
        <v>216</v>
      </c>
    </row>
    <row r="27" spans="1:5">
      <c r="A27" s="77"/>
      <c r="B27" s="28" t="s">
        <v>194</v>
      </c>
      <c r="C27" s="22" t="s">
        <v>204</v>
      </c>
      <c r="D27" s="37">
        <f>VLOOKUP($C$3,data_ชีชกรอกข้อมูล!$C$4:$AL$91,25,0)</f>
        <v>105076.1125</v>
      </c>
      <c r="E27" t="s">
        <v>216</v>
      </c>
    </row>
    <row r="28" spans="1:5">
      <c r="A28" s="77"/>
      <c r="B28" s="28" t="s">
        <v>195</v>
      </c>
      <c r="C28" s="22" t="s">
        <v>205</v>
      </c>
      <c r="D28" s="37">
        <f>VLOOKUP($C$3,data_ชีชกรอกข้อมูล!$C$4:$AL$91,26,0)</f>
        <v>2405413.1112500001</v>
      </c>
      <c r="E28" t="s">
        <v>216</v>
      </c>
    </row>
    <row r="29" spans="1:5">
      <c r="A29" s="77"/>
      <c r="B29" s="28" t="s">
        <v>196</v>
      </c>
      <c r="C29" s="22" t="s">
        <v>206</v>
      </c>
      <c r="D29" s="37">
        <f>VLOOKUP($C$3,data_ชีชกรอกข้อมูล!$C$4:$AL$91,27,0)</f>
        <v>572112.125</v>
      </c>
      <c r="E29" t="s">
        <v>216</v>
      </c>
    </row>
    <row r="30" spans="1:5">
      <c r="A30" s="77"/>
      <c r="B30" s="28" t="s">
        <v>197</v>
      </c>
      <c r="C30" s="22" t="s">
        <v>207</v>
      </c>
      <c r="D30" s="37">
        <f>VLOOKUP($C$3,data_ชีชกรอกข้อมูล!$C$4:$AL$91,28,0)</f>
        <v>0</v>
      </c>
      <c r="E30" t="s">
        <v>216</v>
      </c>
    </row>
    <row r="31" spans="1:5">
      <c r="A31" s="77"/>
      <c r="B31" s="28" t="s">
        <v>213</v>
      </c>
      <c r="C31" s="22"/>
      <c r="D31" s="37">
        <f>VLOOKUP($C$3,data_ชีชกรอกข้อมูล!$C$4:$AL$91,29,0)</f>
        <v>4332345.0987499999</v>
      </c>
      <c r="E31" t="s">
        <v>216</v>
      </c>
    </row>
    <row r="32" spans="1:5" ht="28.8">
      <c r="A32" s="70" t="s">
        <v>220</v>
      </c>
      <c r="B32" s="29" t="s">
        <v>189</v>
      </c>
      <c r="C32" s="23" t="s">
        <v>191</v>
      </c>
      <c r="D32" s="32">
        <f>VLOOKUP($C$3,data_ชีชกรอกข้อมูล!$C$4:$AL$91,30,0)</f>
        <v>-8618392.0612499993</v>
      </c>
      <c r="E32" t="s">
        <v>216</v>
      </c>
    </row>
    <row r="33" spans="1:5">
      <c r="A33" s="70"/>
      <c r="B33" s="29" t="s">
        <v>0</v>
      </c>
      <c r="C33" s="23" t="s">
        <v>192</v>
      </c>
      <c r="D33" s="32">
        <f>VLOOKUP($C$3,data_ชีชกรอกข้อมูล!$C$4:$AL$91,31,0)</f>
        <v>4332345.0987500008</v>
      </c>
      <c r="E33" t="s">
        <v>216</v>
      </c>
    </row>
    <row r="34" spans="1:5">
      <c r="A34" s="70"/>
      <c r="B34" s="30" t="s">
        <v>1</v>
      </c>
      <c r="C34" s="24" t="s">
        <v>190</v>
      </c>
      <c r="D34" s="33">
        <f>VLOOKUP($C$3,data_ชีชกรอกข้อมูล!$C$4:$AL$91,32,0)</f>
        <v>-1.9893133775831107</v>
      </c>
      <c r="E34" t="s">
        <v>217</v>
      </c>
    </row>
    <row r="35" spans="1:5">
      <c r="A35" s="71" t="s">
        <v>214</v>
      </c>
      <c r="B35" s="71"/>
      <c r="C35" s="71"/>
      <c r="D35" s="34">
        <f>VLOOKUP($C$3,data_ชีชกรอกข้อมูล!$C$4:$AL$91,33,0)</f>
        <v>-17283082.258749999</v>
      </c>
      <c r="E35" t="s">
        <v>216</v>
      </c>
    </row>
    <row r="36" spans="1:5">
      <c r="A36" s="72" t="s">
        <v>215</v>
      </c>
      <c r="B36" s="72"/>
      <c r="C36" s="72"/>
      <c r="D36" s="31">
        <f>VLOOKUP($C$3,data_ชีชกรอกข้อมูล!$C$4:$AL$91,34,0)</f>
        <v>1.9999999999999996</v>
      </c>
      <c r="E36" t="s">
        <v>217</v>
      </c>
    </row>
  </sheetData>
  <mergeCells count="9">
    <mergeCell ref="A32:A34"/>
    <mergeCell ref="A35:C35"/>
    <mergeCell ref="A36:C36"/>
    <mergeCell ref="A6:A8"/>
    <mergeCell ref="A9:A13"/>
    <mergeCell ref="A15:A18"/>
    <mergeCell ref="A19:C19"/>
    <mergeCell ref="A20:A25"/>
    <mergeCell ref="A26:A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1"/>
  <sheetViews>
    <sheetView workbookViewId="0">
      <pane xSplit="5" ySplit="3" topLeftCell="Z77" activePane="bottomRight" state="frozen"/>
      <selection pane="topRight" activeCell="F1" sqref="F1"/>
      <selection pane="bottomLeft" activeCell="A4" sqref="A4"/>
      <selection pane="bottomRight" activeCell="AL81" sqref="AL81"/>
    </sheetView>
  </sheetViews>
  <sheetFormatPr defaultRowHeight="14.4"/>
  <cols>
    <col min="1" max="1" width="3.6640625" style="1" bestFit="1" customWidth="1"/>
    <col min="3" max="3" width="7.33203125" style="1" customWidth="1"/>
    <col min="4" max="4" width="26.109375" customWidth="1"/>
    <col min="5" max="5" width="6.5546875" bestFit="1" customWidth="1"/>
    <col min="6" max="6" width="15.6640625" style="2" bestFit="1" customWidth="1"/>
    <col min="7" max="7" width="16.6640625" style="2" bestFit="1" customWidth="1"/>
    <col min="8" max="8" width="12" style="2" bestFit="1" customWidth="1"/>
    <col min="9" max="9" width="13.44140625" customWidth="1"/>
    <col min="10" max="10" width="14.5546875" customWidth="1"/>
    <col min="11" max="11" width="14.21875" bestFit="1" customWidth="1"/>
    <col min="12" max="12" width="15.5546875" customWidth="1"/>
    <col min="13" max="13" width="14.44140625" customWidth="1"/>
    <col min="14" max="14" width="16.6640625" bestFit="1" customWidth="1"/>
    <col min="15" max="15" width="9.6640625" customWidth="1"/>
    <col min="19" max="19" width="17.44140625" customWidth="1"/>
    <col min="20" max="21" width="13.21875" bestFit="1" customWidth="1"/>
    <col min="22" max="22" width="15.6640625" bestFit="1" customWidth="1"/>
    <col min="23" max="23" width="13.21875" bestFit="1" customWidth="1"/>
    <col min="24" max="24" width="14.21875" bestFit="1" customWidth="1"/>
    <col min="25" max="25" width="15.6640625" bestFit="1" customWidth="1"/>
    <col min="26" max="26" width="10.5546875" bestFit="1" customWidth="1"/>
    <col min="27" max="27" width="11.6640625" customWidth="1"/>
    <col min="28" max="28" width="11.5546875" bestFit="1" customWidth="1"/>
    <col min="29" max="29" width="10.21875" bestFit="1" customWidth="1"/>
    <col min="30" max="30" width="3.109375" bestFit="1" customWidth="1"/>
    <col min="31" max="31" width="12.6640625" bestFit="1" customWidth="1"/>
    <col min="32" max="32" width="15.5546875" customWidth="1"/>
    <col min="33" max="33" width="20" bestFit="1" customWidth="1"/>
    <col min="34" max="34" width="10.6640625" style="2" customWidth="1"/>
    <col min="35" max="35" width="16.5546875" style="17" customWidth="1"/>
    <col min="36" max="36" width="11.44140625" customWidth="1"/>
    <col min="37" max="37" width="8.6640625" style="1"/>
  </cols>
  <sheetData>
    <row r="1" spans="1:38" ht="13.95" customHeight="1">
      <c r="F1" s="78" t="s">
        <v>188</v>
      </c>
      <c r="G1" s="78"/>
      <c r="H1" s="78"/>
      <c r="I1" s="83" t="s">
        <v>236</v>
      </c>
      <c r="J1" s="83"/>
      <c r="K1" s="83"/>
      <c r="L1" s="83"/>
      <c r="M1" s="83"/>
      <c r="N1" s="83"/>
      <c r="O1" s="79" t="s">
        <v>209</v>
      </c>
      <c r="P1" s="79"/>
      <c r="Q1" s="79"/>
      <c r="R1" s="79"/>
      <c r="S1" s="46" t="s">
        <v>212</v>
      </c>
      <c r="T1" s="81" t="s">
        <v>242</v>
      </c>
      <c r="U1" s="81"/>
      <c r="V1" s="81"/>
      <c r="W1" s="81"/>
      <c r="X1" s="81"/>
      <c r="Y1" s="81"/>
      <c r="Z1" s="82" t="s">
        <v>241</v>
      </c>
      <c r="AA1" s="82"/>
      <c r="AB1" s="82"/>
      <c r="AC1" s="82"/>
      <c r="AD1" s="82"/>
      <c r="AE1" s="82"/>
      <c r="AF1" s="80" t="s">
        <v>220</v>
      </c>
      <c r="AG1" s="80"/>
      <c r="AH1" s="80"/>
      <c r="AI1" s="62" t="s">
        <v>214</v>
      </c>
      <c r="AJ1" s="63" t="s">
        <v>215</v>
      </c>
    </row>
    <row r="2" spans="1:38">
      <c r="D2" s="3"/>
      <c r="F2" s="53" t="s">
        <v>189</v>
      </c>
      <c r="G2" s="53" t="s">
        <v>0</v>
      </c>
      <c r="H2" s="53" t="s">
        <v>1</v>
      </c>
      <c r="I2" s="55" t="s">
        <v>193</v>
      </c>
      <c r="J2" s="55" t="s">
        <v>194</v>
      </c>
      <c r="K2" s="55" t="s">
        <v>195</v>
      </c>
      <c r="L2" s="55" t="s">
        <v>196</v>
      </c>
      <c r="M2" s="55" t="s">
        <v>197</v>
      </c>
      <c r="N2" s="55" t="s">
        <v>208</v>
      </c>
      <c r="O2" s="57" t="s">
        <v>193</v>
      </c>
      <c r="P2" s="57" t="s">
        <v>194</v>
      </c>
      <c r="Q2" s="57" t="s">
        <v>195</v>
      </c>
      <c r="R2" s="57" t="s">
        <v>196</v>
      </c>
      <c r="S2" s="59"/>
      <c r="T2" s="47" t="s">
        <v>193</v>
      </c>
      <c r="U2" s="47" t="s">
        <v>194</v>
      </c>
      <c r="V2" s="47" t="s">
        <v>195</v>
      </c>
      <c r="W2" s="47" t="s">
        <v>196</v>
      </c>
      <c r="X2" s="47" t="s">
        <v>197</v>
      </c>
      <c r="Y2" s="47" t="s">
        <v>213</v>
      </c>
      <c r="Z2" s="41" t="s">
        <v>193</v>
      </c>
      <c r="AA2" s="41" t="s">
        <v>194</v>
      </c>
      <c r="AB2" s="41" t="s">
        <v>195</v>
      </c>
      <c r="AC2" s="41" t="s">
        <v>196</v>
      </c>
      <c r="AD2" s="41" t="s">
        <v>197</v>
      </c>
      <c r="AE2" s="41" t="s">
        <v>213</v>
      </c>
      <c r="AF2" s="43" t="s">
        <v>189</v>
      </c>
      <c r="AG2" s="43" t="s">
        <v>0</v>
      </c>
      <c r="AH2" s="44" t="s">
        <v>1</v>
      </c>
      <c r="AI2" s="60"/>
      <c r="AJ2" s="61"/>
    </row>
    <row r="3" spans="1:38" s="5" customFormat="1" ht="72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  <c r="F3" s="54" t="s">
        <v>191</v>
      </c>
      <c r="G3" s="54" t="s">
        <v>192</v>
      </c>
      <c r="H3" s="54" t="s">
        <v>190</v>
      </c>
      <c r="I3" s="56" t="s">
        <v>237</v>
      </c>
      <c r="J3" s="56" t="s">
        <v>204</v>
      </c>
      <c r="K3" s="56" t="s">
        <v>205</v>
      </c>
      <c r="L3" s="56" t="s">
        <v>206</v>
      </c>
      <c r="M3" s="56" t="s">
        <v>207</v>
      </c>
      <c r="N3" s="40"/>
      <c r="O3" s="58" t="s">
        <v>203</v>
      </c>
      <c r="P3" s="58" t="s">
        <v>204</v>
      </c>
      <c r="Q3" s="58" t="s">
        <v>205</v>
      </c>
      <c r="R3" s="58" t="s">
        <v>206</v>
      </c>
      <c r="S3" s="59" t="s">
        <v>212</v>
      </c>
      <c r="T3" s="40" t="s">
        <v>203</v>
      </c>
      <c r="U3" s="40" t="s">
        <v>204</v>
      </c>
      <c r="V3" s="40" t="s">
        <v>205</v>
      </c>
      <c r="W3" s="40" t="s">
        <v>206</v>
      </c>
      <c r="X3" s="40" t="s">
        <v>207</v>
      </c>
      <c r="Y3" s="47" t="s">
        <v>213</v>
      </c>
      <c r="Z3" s="42" t="s">
        <v>203</v>
      </c>
      <c r="AA3" s="42" t="s">
        <v>204</v>
      </c>
      <c r="AB3" s="42" t="s">
        <v>205</v>
      </c>
      <c r="AC3" s="42" t="s">
        <v>206</v>
      </c>
      <c r="AD3" s="42" t="s">
        <v>207</v>
      </c>
      <c r="AE3" s="41" t="s">
        <v>213</v>
      </c>
      <c r="AF3" s="45" t="s">
        <v>191</v>
      </c>
      <c r="AG3" s="45" t="s">
        <v>192</v>
      </c>
      <c r="AH3" s="44" t="s">
        <v>190</v>
      </c>
      <c r="AI3" s="60" t="s">
        <v>219</v>
      </c>
      <c r="AJ3" s="61" t="s">
        <v>215</v>
      </c>
      <c r="AK3" s="5" t="s">
        <v>198</v>
      </c>
      <c r="AL3" s="5" t="s">
        <v>199</v>
      </c>
    </row>
    <row r="4" spans="1:38">
      <c r="A4" s="1">
        <v>8</v>
      </c>
      <c r="B4" t="s">
        <v>45</v>
      </c>
      <c r="C4" s="1" t="s">
        <v>48</v>
      </c>
      <c r="D4" t="s">
        <v>49</v>
      </c>
      <c r="E4" t="s">
        <v>4</v>
      </c>
      <c r="F4" s="2">
        <v>120016102.41</v>
      </c>
      <c r="G4" s="2">
        <v>271924663.30000001</v>
      </c>
      <c r="H4" s="2">
        <v>0.44</v>
      </c>
      <c r="I4" s="2">
        <v>9563622.75</v>
      </c>
      <c r="J4" s="2">
        <v>2032000</v>
      </c>
      <c r="K4" s="2">
        <v>229271822.47999999</v>
      </c>
      <c r="L4" s="2">
        <v>0</v>
      </c>
      <c r="M4" s="2">
        <v>31057218.07</v>
      </c>
      <c r="N4" s="4">
        <f t="shared" ref="N4:N24" si="0">SUM(I4:M4)</f>
        <v>271924663.30000001</v>
      </c>
      <c r="O4" s="7">
        <v>32</v>
      </c>
      <c r="P4" s="7">
        <v>36</v>
      </c>
      <c r="Q4" s="7">
        <v>148</v>
      </c>
      <c r="R4" s="6">
        <v>112</v>
      </c>
      <c r="S4" s="16">
        <v>94091940.296249986</v>
      </c>
      <c r="T4" s="10">
        <f t="shared" ref="T4:T24" si="1">SUM(I4)</f>
        <v>9563622.75</v>
      </c>
      <c r="U4" s="10">
        <f t="shared" ref="U4:U24" si="2">SUM(J4)</f>
        <v>2032000</v>
      </c>
      <c r="V4" s="10">
        <f t="shared" ref="V4:V24" si="3">SUM(K4)</f>
        <v>229271822.47999999</v>
      </c>
      <c r="W4" s="10">
        <f t="shared" ref="W4:W24" si="4">SUM(L4)</f>
        <v>0</v>
      </c>
      <c r="X4" s="10">
        <f t="shared" ref="X4:X24" si="5">SUM(M4)</f>
        <v>31057218.07</v>
      </c>
      <c r="Y4" s="12">
        <f t="shared" ref="Y4:Y24" si="6">SUM(T4:X4)</f>
        <v>271924663.30000001</v>
      </c>
      <c r="Z4" s="9">
        <v>9139937.6837499999</v>
      </c>
      <c r="AA4" s="9">
        <v>1777500</v>
      </c>
      <c r="AB4" s="9">
        <v>46758107.206249997</v>
      </c>
      <c r="AC4" s="9">
        <v>91175.875</v>
      </c>
      <c r="AD4" s="9"/>
      <c r="AE4" s="13">
        <f t="shared" ref="AE4:AE24" si="7">SUM(Z4:AD4)</f>
        <v>57766720.765000001</v>
      </c>
      <c r="AF4" s="14">
        <f t="shared" ref="AF4:AF24" si="8">SUM(F4-S4-Y4)</f>
        <v>-246000501.18625</v>
      </c>
      <c r="AG4" s="14">
        <f t="shared" ref="AG4:AG24" si="9">SUM(G4+AE4-Y4)</f>
        <v>57766720.764999986</v>
      </c>
      <c r="AH4" s="15">
        <f t="shared" ref="AH4:AH24" si="10">SUM(AF4/AG4)</f>
        <v>-4.2585159401206329</v>
      </c>
      <c r="AI4" s="17">
        <f t="shared" ref="AI4:AI23" si="11">+AG4*(AH4-2)</f>
        <v>-361533942.71625</v>
      </c>
      <c r="AJ4" s="11">
        <f t="shared" ref="AJ4:AJ23" si="12">+(AF4-AI4)/AG4</f>
        <v>2.0000000000000004</v>
      </c>
      <c r="AK4" s="1">
        <v>8</v>
      </c>
      <c r="AL4" t="s">
        <v>45</v>
      </c>
    </row>
    <row r="5" spans="1:38">
      <c r="A5" s="1">
        <v>8</v>
      </c>
      <c r="B5" t="s">
        <v>45</v>
      </c>
      <c r="C5" s="1" t="s">
        <v>50</v>
      </c>
      <c r="D5" t="s">
        <v>51</v>
      </c>
      <c r="E5" t="s">
        <v>3</v>
      </c>
      <c r="F5" s="2">
        <v>37196668.350000001</v>
      </c>
      <c r="G5" s="2">
        <v>8172154.5700000003</v>
      </c>
      <c r="H5" s="2">
        <v>4.55</v>
      </c>
      <c r="I5" s="2">
        <v>2684664.5</v>
      </c>
      <c r="J5" s="2">
        <v>171089.41</v>
      </c>
      <c r="K5" s="2">
        <v>4122051.4400000004</v>
      </c>
      <c r="L5" s="2">
        <v>0</v>
      </c>
      <c r="M5" s="2">
        <v>1194349.22</v>
      </c>
      <c r="N5" s="4">
        <f t="shared" si="0"/>
        <v>8172154.5700000003</v>
      </c>
      <c r="O5" s="7">
        <v>32</v>
      </c>
      <c r="P5" s="7">
        <v>25</v>
      </c>
      <c r="Q5" s="7">
        <v>67</v>
      </c>
      <c r="R5" s="6">
        <v>0</v>
      </c>
      <c r="S5" s="16">
        <v>10952875.605</v>
      </c>
      <c r="T5" s="10">
        <f t="shared" si="1"/>
        <v>2684664.5</v>
      </c>
      <c r="U5" s="10">
        <f t="shared" si="2"/>
        <v>171089.41</v>
      </c>
      <c r="V5" s="10">
        <f t="shared" si="3"/>
        <v>4122051.4400000004</v>
      </c>
      <c r="W5" s="10">
        <f t="shared" si="4"/>
        <v>0</v>
      </c>
      <c r="X5" s="10">
        <f t="shared" si="5"/>
        <v>1194349.22</v>
      </c>
      <c r="Y5" s="12">
        <f t="shared" si="6"/>
        <v>8172154.5700000003</v>
      </c>
      <c r="Z5" s="9">
        <v>1224863.125</v>
      </c>
      <c r="AA5" s="9">
        <v>100268.02250000001</v>
      </c>
      <c r="AB5" s="9">
        <v>2039699.2412500002</v>
      </c>
      <c r="AC5" s="9">
        <v>813469.5</v>
      </c>
      <c r="AD5" s="9"/>
      <c r="AE5" s="13">
        <f t="shared" si="7"/>
        <v>4178299.8887499999</v>
      </c>
      <c r="AF5" s="14">
        <f t="shared" si="8"/>
        <v>18071638.175000001</v>
      </c>
      <c r="AG5" s="14">
        <f t="shared" si="9"/>
        <v>4178299.8887499999</v>
      </c>
      <c r="AH5" s="15">
        <f t="shared" si="10"/>
        <v>4.3251175492830409</v>
      </c>
      <c r="AI5" s="17">
        <f t="shared" si="11"/>
        <v>9715038.3975000028</v>
      </c>
      <c r="AJ5" s="11">
        <f t="shared" si="12"/>
        <v>1.9999999999999996</v>
      </c>
      <c r="AK5" s="1">
        <v>8</v>
      </c>
      <c r="AL5" t="s">
        <v>45</v>
      </c>
    </row>
    <row r="6" spans="1:38">
      <c r="A6" s="1">
        <v>8</v>
      </c>
      <c r="B6" t="s">
        <v>45</v>
      </c>
      <c r="C6" s="1" t="s">
        <v>52</v>
      </c>
      <c r="D6" t="s">
        <v>53</v>
      </c>
      <c r="E6" t="s">
        <v>3</v>
      </c>
      <c r="F6" s="2">
        <v>35649541.759999998</v>
      </c>
      <c r="G6" s="2">
        <v>24795952.43</v>
      </c>
      <c r="H6" s="2">
        <v>1.44</v>
      </c>
      <c r="I6" s="2">
        <v>3899025</v>
      </c>
      <c r="J6" s="2">
        <v>300681.98</v>
      </c>
      <c r="K6" s="2">
        <v>13316513.32</v>
      </c>
      <c r="L6" s="2">
        <v>0</v>
      </c>
      <c r="M6" s="2">
        <v>7279732.1299999999</v>
      </c>
      <c r="N6" s="4">
        <f t="shared" si="0"/>
        <v>24795952.43</v>
      </c>
      <c r="O6" s="7">
        <v>31</v>
      </c>
      <c r="P6" s="7">
        <v>23</v>
      </c>
      <c r="Q6" s="7">
        <v>80</v>
      </c>
      <c r="R6" s="6">
        <v>12</v>
      </c>
      <c r="S6" s="16">
        <v>15061213.308749998</v>
      </c>
      <c r="T6" s="10">
        <f t="shared" si="1"/>
        <v>3899025</v>
      </c>
      <c r="U6" s="10">
        <f t="shared" si="2"/>
        <v>300681.98</v>
      </c>
      <c r="V6" s="10">
        <f t="shared" si="3"/>
        <v>13316513.32</v>
      </c>
      <c r="W6" s="10">
        <f t="shared" si="4"/>
        <v>0</v>
      </c>
      <c r="X6" s="10">
        <f t="shared" si="5"/>
        <v>7279732.1299999999</v>
      </c>
      <c r="Y6" s="12">
        <f t="shared" si="6"/>
        <v>24795952.43</v>
      </c>
      <c r="Z6" s="9">
        <v>1935209.375</v>
      </c>
      <c r="AA6" s="9">
        <v>194165.38499999998</v>
      </c>
      <c r="AB6" s="9">
        <v>4252586.0887500001</v>
      </c>
      <c r="AC6" s="9">
        <v>553917.375</v>
      </c>
      <c r="AD6" s="9"/>
      <c r="AE6" s="13">
        <f t="shared" si="7"/>
        <v>6935878.2237499999</v>
      </c>
      <c r="AF6" s="14">
        <f t="shared" si="8"/>
        <v>-4207623.9787499979</v>
      </c>
      <c r="AG6" s="14">
        <f t="shared" si="9"/>
        <v>6935878.223749999</v>
      </c>
      <c r="AH6" s="15">
        <f t="shared" si="10"/>
        <v>-0.60664617269982513</v>
      </c>
      <c r="AI6" s="17">
        <f t="shared" si="11"/>
        <v>-18079380.426249996</v>
      </c>
      <c r="AJ6" s="11">
        <f t="shared" si="12"/>
        <v>2</v>
      </c>
      <c r="AK6" s="1">
        <v>8</v>
      </c>
      <c r="AL6" t="s">
        <v>45</v>
      </c>
    </row>
    <row r="7" spans="1:38">
      <c r="A7" s="1">
        <v>8</v>
      </c>
      <c r="B7" t="s">
        <v>45</v>
      </c>
      <c r="C7" s="1" t="s">
        <v>54</v>
      </c>
      <c r="D7" t="s">
        <v>55</v>
      </c>
      <c r="E7" t="s">
        <v>3</v>
      </c>
      <c r="F7" s="2">
        <v>49964132.5</v>
      </c>
      <c r="G7" s="2">
        <v>26057893.289999999</v>
      </c>
      <c r="H7" s="2">
        <v>1.92</v>
      </c>
      <c r="I7" s="2">
        <v>3506462.25</v>
      </c>
      <c r="J7" s="2">
        <v>328394.89</v>
      </c>
      <c r="K7" s="2">
        <v>13550701.74</v>
      </c>
      <c r="L7" s="2">
        <v>0</v>
      </c>
      <c r="M7" s="2">
        <v>8672334.4100000001</v>
      </c>
      <c r="N7" s="4">
        <f t="shared" si="0"/>
        <v>26057893.289999999</v>
      </c>
      <c r="O7" s="7">
        <v>50</v>
      </c>
      <c r="P7" s="7">
        <v>33</v>
      </c>
      <c r="Q7" s="7">
        <v>137</v>
      </c>
      <c r="R7" s="6">
        <v>0</v>
      </c>
      <c r="S7" s="16">
        <v>14514106.852499999</v>
      </c>
      <c r="T7" s="10">
        <f t="shared" si="1"/>
        <v>3506462.25</v>
      </c>
      <c r="U7" s="10">
        <f t="shared" si="2"/>
        <v>328394.89</v>
      </c>
      <c r="V7" s="10">
        <f t="shared" si="3"/>
        <v>13550701.74</v>
      </c>
      <c r="W7" s="10">
        <f t="shared" si="4"/>
        <v>0</v>
      </c>
      <c r="X7" s="10">
        <f t="shared" si="5"/>
        <v>8672334.4100000001</v>
      </c>
      <c r="Y7" s="12">
        <f t="shared" si="6"/>
        <v>26057893.289999999</v>
      </c>
      <c r="Z7" s="9">
        <v>2320102.59375</v>
      </c>
      <c r="AA7" s="9">
        <v>287950.76624999999</v>
      </c>
      <c r="AB7" s="9">
        <v>3130544.8299999996</v>
      </c>
      <c r="AC7" s="9">
        <v>964448.375</v>
      </c>
      <c r="AD7" s="9"/>
      <c r="AE7" s="13">
        <f t="shared" si="7"/>
        <v>6703046.5649999995</v>
      </c>
      <c r="AF7" s="14">
        <f t="shared" si="8"/>
        <v>9392132.3575000018</v>
      </c>
      <c r="AG7" s="14">
        <f t="shared" si="9"/>
        <v>6703046.5649999976</v>
      </c>
      <c r="AH7" s="15">
        <f t="shared" si="10"/>
        <v>1.4011736702742128</v>
      </c>
      <c r="AI7" s="17">
        <f t="shared" si="11"/>
        <v>-4013960.7724999939</v>
      </c>
      <c r="AJ7" s="11">
        <f t="shared" si="12"/>
        <v>2</v>
      </c>
      <c r="AK7" s="1">
        <v>8</v>
      </c>
      <c r="AL7" t="s">
        <v>45</v>
      </c>
    </row>
    <row r="8" spans="1:38">
      <c r="A8" s="1">
        <v>8</v>
      </c>
      <c r="B8" t="s">
        <v>45</v>
      </c>
      <c r="C8" s="1" t="s">
        <v>56</v>
      </c>
      <c r="D8" t="s">
        <v>57</v>
      </c>
      <c r="E8" t="s">
        <v>3</v>
      </c>
      <c r="F8" s="2">
        <v>14305028.51</v>
      </c>
      <c r="G8" s="2">
        <v>6922612.71</v>
      </c>
      <c r="H8" s="2">
        <v>2.0699999999999998</v>
      </c>
      <c r="I8" s="2">
        <v>2653600</v>
      </c>
      <c r="J8" s="2">
        <v>102530.67</v>
      </c>
      <c r="K8" s="2">
        <v>2963842.7099999995</v>
      </c>
      <c r="L8" s="2">
        <v>0</v>
      </c>
      <c r="M8" s="2">
        <v>1202639.33</v>
      </c>
      <c r="N8" s="4">
        <f t="shared" si="0"/>
        <v>6922612.709999999</v>
      </c>
      <c r="O8" s="7">
        <v>41</v>
      </c>
      <c r="P8" s="7">
        <v>84</v>
      </c>
      <c r="Q8" s="7">
        <v>60</v>
      </c>
      <c r="R8" s="6">
        <v>0</v>
      </c>
      <c r="S8" s="16">
        <v>6813740.1112500001</v>
      </c>
      <c r="T8" s="10">
        <f t="shared" si="1"/>
        <v>2653600</v>
      </c>
      <c r="U8" s="10">
        <f t="shared" si="2"/>
        <v>102530.67</v>
      </c>
      <c r="V8" s="10">
        <f t="shared" si="3"/>
        <v>2963842.7099999995</v>
      </c>
      <c r="W8" s="10">
        <f t="shared" si="4"/>
        <v>0</v>
      </c>
      <c r="X8" s="10">
        <f t="shared" si="5"/>
        <v>1202639.33</v>
      </c>
      <c r="Y8" s="12">
        <f t="shared" si="6"/>
        <v>6922612.709999999</v>
      </c>
      <c r="Z8" s="9">
        <v>1357005</v>
      </c>
      <c r="AA8" s="9">
        <v>67898.516250000001</v>
      </c>
      <c r="AB8" s="9">
        <v>1589929.8837500003</v>
      </c>
      <c r="AC8" s="9">
        <v>129850</v>
      </c>
      <c r="AD8" s="9"/>
      <c r="AE8" s="13">
        <f t="shared" si="7"/>
        <v>3144683.4000000004</v>
      </c>
      <c r="AF8" s="14">
        <f t="shared" si="8"/>
        <v>568675.68875000067</v>
      </c>
      <c r="AG8" s="14">
        <f t="shared" si="9"/>
        <v>3144683.4000000004</v>
      </c>
      <c r="AH8" s="15">
        <f t="shared" si="10"/>
        <v>0.18083718340294624</v>
      </c>
      <c r="AI8" s="17">
        <f t="shared" si="11"/>
        <v>-5720691.1112500001</v>
      </c>
      <c r="AJ8" s="11">
        <f t="shared" si="12"/>
        <v>2</v>
      </c>
      <c r="AK8" s="1">
        <v>8</v>
      </c>
      <c r="AL8" t="s">
        <v>45</v>
      </c>
    </row>
    <row r="9" spans="1:38">
      <c r="A9" s="1">
        <v>8</v>
      </c>
      <c r="B9" t="s">
        <v>45</v>
      </c>
      <c r="C9" s="1" t="s">
        <v>58</v>
      </c>
      <c r="D9" t="s">
        <v>59</v>
      </c>
      <c r="E9" t="s">
        <v>3</v>
      </c>
      <c r="F9" s="2">
        <v>20445847.960000001</v>
      </c>
      <c r="G9" s="2">
        <v>10432351.279999999</v>
      </c>
      <c r="H9" s="2">
        <v>1.96</v>
      </c>
      <c r="I9" s="2">
        <v>2263360</v>
      </c>
      <c r="J9" s="2">
        <v>106109.84</v>
      </c>
      <c r="K9" s="2">
        <v>6098864.3899999997</v>
      </c>
      <c r="L9" s="2">
        <v>32492.5</v>
      </c>
      <c r="M9" s="2">
        <v>1931524.55</v>
      </c>
      <c r="N9" s="4">
        <f t="shared" si="0"/>
        <v>10432351.280000001</v>
      </c>
      <c r="O9" s="7">
        <v>54</v>
      </c>
      <c r="P9" s="7">
        <v>49</v>
      </c>
      <c r="Q9" s="7">
        <v>96</v>
      </c>
      <c r="R9" s="6">
        <v>0</v>
      </c>
      <c r="S9" s="16">
        <v>8710514.647499999</v>
      </c>
      <c r="T9" s="10">
        <f t="shared" si="1"/>
        <v>2263360</v>
      </c>
      <c r="U9" s="10">
        <f t="shared" si="2"/>
        <v>106109.84</v>
      </c>
      <c r="V9" s="10">
        <f t="shared" si="3"/>
        <v>6098864.3899999997</v>
      </c>
      <c r="W9" s="10">
        <f t="shared" si="4"/>
        <v>32492.5</v>
      </c>
      <c r="X9" s="10">
        <f t="shared" si="5"/>
        <v>1931524.55</v>
      </c>
      <c r="Y9" s="12">
        <f t="shared" si="6"/>
        <v>10432351.280000001</v>
      </c>
      <c r="Z9" s="9">
        <v>1008630.9375</v>
      </c>
      <c r="AA9" s="9">
        <v>89918.684999999998</v>
      </c>
      <c r="AB9" s="9">
        <v>1586812.51</v>
      </c>
      <c r="AC9" s="9">
        <v>644616.28125</v>
      </c>
      <c r="AD9" s="9"/>
      <c r="AE9" s="13">
        <f t="shared" si="7"/>
        <v>3329978.4137500003</v>
      </c>
      <c r="AF9" s="14">
        <f t="shared" si="8"/>
        <v>1302982.0325000007</v>
      </c>
      <c r="AG9" s="14">
        <f t="shared" si="9"/>
        <v>3329978.4137499984</v>
      </c>
      <c r="AH9" s="15">
        <f t="shared" si="10"/>
        <v>0.3912884321170928</v>
      </c>
      <c r="AI9" s="17">
        <f t="shared" si="11"/>
        <v>-5356974.7949999962</v>
      </c>
      <c r="AJ9" s="11">
        <f t="shared" si="12"/>
        <v>2</v>
      </c>
      <c r="AK9" s="1">
        <v>8</v>
      </c>
      <c r="AL9" t="s">
        <v>45</v>
      </c>
    </row>
    <row r="10" spans="1:38">
      <c r="A10" s="1">
        <v>8</v>
      </c>
      <c r="B10" t="s">
        <v>45</v>
      </c>
      <c r="C10" s="1" t="s">
        <v>60</v>
      </c>
      <c r="D10" t="s">
        <v>61</v>
      </c>
      <c r="E10" t="s">
        <v>3</v>
      </c>
      <c r="F10" s="2">
        <v>22778288.82</v>
      </c>
      <c r="G10" s="2">
        <v>8487134.5299999993</v>
      </c>
      <c r="H10" s="2">
        <v>2.68</v>
      </c>
      <c r="I10" s="2">
        <v>1296740</v>
      </c>
      <c r="J10" s="2">
        <v>204800</v>
      </c>
      <c r="K10" s="2">
        <v>6616445.7999999998</v>
      </c>
      <c r="L10" s="2">
        <v>0</v>
      </c>
      <c r="M10" s="2">
        <v>369148.73</v>
      </c>
      <c r="N10" s="4">
        <f t="shared" si="0"/>
        <v>8487134.5299999993</v>
      </c>
      <c r="O10" s="7">
        <v>30</v>
      </c>
      <c r="P10" s="7">
        <v>45</v>
      </c>
      <c r="Q10" s="7">
        <v>58</v>
      </c>
      <c r="R10" s="6">
        <v>0</v>
      </c>
      <c r="S10" s="16">
        <v>6886772.7037500003</v>
      </c>
      <c r="T10" s="10">
        <f t="shared" si="1"/>
        <v>1296740</v>
      </c>
      <c r="U10" s="10">
        <f t="shared" si="2"/>
        <v>204800</v>
      </c>
      <c r="V10" s="10">
        <f t="shared" si="3"/>
        <v>6616445.7999999998</v>
      </c>
      <c r="W10" s="10">
        <f t="shared" si="4"/>
        <v>0</v>
      </c>
      <c r="X10" s="10">
        <f t="shared" si="5"/>
        <v>369148.73</v>
      </c>
      <c r="Y10" s="12">
        <f t="shared" si="6"/>
        <v>8487134.5299999993</v>
      </c>
      <c r="Z10" s="9">
        <v>1312180</v>
      </c>
      <c r="AA10" s="9">
        <v>102400</v>
      </c>
      <c r="AB10" s="9">
        <v>2404478.6475</v>
      </c>
      <c r="AC10" s="9">
        <v>0</v>
      </c>
      <c r="AD10" s="9"/>
      <c r="AE10" s="13">
        <f t="shared" si="7"/>
        <v>3819058.6475</v>
      </c>
      <c r="AF10" s="14">
        <f t="shared" si="8"/>
        <v>7404381.5862500016</v>
      </c>
      <c r="AG10" s="14">
        <f t="shared" si="9"/>
        <v>3819058.647499999</v>
      </c>
      <c r="AH10" s="15">
        <f t="shared" si="10"/>
        <v>1.9387975597329454</v>
      </c>
      <c r="AI10" s="17">
        <f t="shared" si="11"/>
        <v>-233735.70874999691</v>
      </c>
      <c r="AJ10" s="11">
        <f t="shared" si="12"/>
        <v>2</v>
      </c>
      <c r="AK10" s="1">
        <v>8</v>
      </c>
      <c r="AL10" t="s">
        <v>45</v>
      </c>
    </row>
    <row r="11" spans="1:38">
      <c r="A11" s="1">
        <v>8</v>
      </c>
      <c r="B11" t="s">
        <v>45</v>
      </c>
      <c r="C11" s="1" t="s">
        <v>62</v>
      </c>
      <c r="D11" t="s">
        <v>63</v>
      </c>
      <c r="E11" t="s">
        <v>3</v>
      </c>
      <c r="F11" s="2">
        <v>67258247.930000007</v>
      </c>
      <c r="G11" s="2">
        <v>80718154.709999993</v>
      </c>
      <c r="H11" s="2">
        <v>0.83</v>
      </c>
      <c r="I11" s="2">
        <v>8610022.6699999999</v>
      </c>
      <c r="J11" s="2">
        <v>1548584.26</v>
      </c>
      <c r="K11" s="2">
        <v>68216420.099999994</v>
      </c>
      <c r="L11" s="2">
        <v>0</v>
      </c>
      <c r="M11" s="2">
        <v>2343127.6799999997</v>
      </c>
      <c r="N11" s="4">
        <f t="shared" si="0"/>
        <v>80718154.710000008</v>
      </c>
      <c r="O11" s="7">
        <v>46</v>
      </c>
      <c r="P11" s="7">
        <v>112</v>
      </c>
      <c r="Q11" s="7">
        <v>206</v>
      </c>
      <c r="R11" s="6">
        <v>0</v>
      </c>
      <c r="S11" s="16">
        <v>26985236.951249994</v>
      </c>
      <c r="T11" s="10">
        <f t="shared" si="1"/>
        <v>8610022.6699999999</v>
      </c>
      <c r="U11" s="10">
        <f t="shared" si="2"/>
        <v>1548584.26</v>
      </c>
      <c r="V11" s="10">
        <f t="shared" si="3"/>
        <v>68216420.099999994</v>
      </c>
      <c r="W11" s="10">
        <f t="shared" si="4"/>
        <v>0</v>
      </c>
      <c r="X11" s="10">
        <f t="shared" si="5"/>
        <v>2343127.6799999997</v>
      </c>
      <c r="Y11" s="12">
        <f t="shared" si="6"/>
        <v>80718154.710000008</v>
      </c>
      <c r="Z11" s="9">
        <v>4044736.5837500002</v>
      </c>
      <c r="AA11" s="9">
        <v>501725.81874999992</v>
      </c>
      <c r="AB11" s="9">
        <v>9163485.96875</v>
      </c>
      <c r="AC11" s="9">
        <v>750050</v>
      </c>
      <c r="AD11" s="9"/>
      <c r="AE11" s="13">
        <f t="shared" si="7"/>
        <v>14459998.37125</v>
      </c>
      <c r="AF11" s="14">
        <f t="shared" si="8"/>
        <v>-40445143.731249996</v>
      </c>
      <c r="AG11" s="14">
        <f t="shared" si="9"/>
        <v>14459998.371249989</v>
      </c>
      <c r="AH11" s="15">
        <f t="shared" si="10"/>
        <v>-2.7970365343653723</v>
      </c>
      <c r="AI11" s="17">
        <f t="shared" si="11"/>
        <v>-69365140.473749965</v>
      </c>
      <c r="AJ11" s="11">
        <f t="shared" si="12"/>
        <v>1.9999999999999996</v>
      </c>
      <c r="AK11" s="1">
        <v>8</v>
      </c>
      <c r="AL11" t="s">
        <v>45</v>
      </c>
    </row>
    <row r="12" spans="1:38">
      <c r="A12" s="1">
        <v>8</v>
      </c>
      <c r="B12" t="s">
        <v>45</v>
      </c>
      <c r="C12" s="1" t="s">
        <v>64</v>
      </c>
      <c r="D12" t="s">
        <v>65</v>
      </c>
      <c r="E12" t="s">
        <v>3</v>
      </c>
      <c r="F12" s="2">
        <v>16331754.890000001</v>
      </c>
      <c r="G12" s="2">
        <v>12444187.16</v>
      </c>
      <c r="H12" s="2">
        <v>1.31</v>
      </c>
      <c r="I12" s="2">
        <v>2412665.5</v>
      </c>
      <c r="J12" s="2">
        <v>142271.41</v>
      </c>
      <c r="K12" s="2">
        <v>8213585.9900000012</v>
      </c>
      <c r="L12" s="2">
        <v>0</v>
      </c>
      <c r="M12" s="2">
        <v>1675664.26</v>
      </c>
      <c r="N12" s="4">
        <f t="shared" si="0"/>
        <v>12444187.160000002</v>
      </c>
      <c r="O12" s="7">
        <v>40</v>
      </c>
      <c r="P12" s="7">
        <v>43</v>
      </c>
      <c r="Q12" s="7">
        <v>152</v>
      </c>
      <c r="R12" s="6">
        <v>0</v>
      </c>
      <c r="S12" s="16">
        <v>6647878.0612499993</v>
      </c>
      <c r="T12" s="10">
        <f t="shared" si="1"/>
        <v>2412665.5</v>
      </c>
      <c r="U12" s="10">
        <f t="shared" si="2"/>
        <v>142271.41</v>
      </c>
      <c r="V12" s="10">
        <f t="shared" si="3"/>
        <v>8213585.9900000012</v>
      </c>
      <c r="W12" s="10">
        <f t="shared" si="4"/>
        <v>0</v>
      </c>
      <c r="X12" s="10">
        <f t="shared" si="5"/>
        <v>1675664.26</v>
      </c>
      <c r="Y12" s="12">
        <f t="shared" si="6"/>
        <v>12444187.160000002</v>
      </c>
      <c r="Z12" s="9">
        <v>1395371.9375</v>
      </c>
      <c r="AA12" s="9">
        <v>166788.86499999999</v>
      </c>
      <c r="AB12" s="9">
        <v>1952223.6762499998</v>
      </c>
      <c r="AC12" s="9">
        <v>160350</v>
      </c>
      <c r="AD12" s="9"/>
      <c r="AE12" s="13">
        <f t="shared" si="7"/>
        <v>3674734.4787499998</v>
      </c>
      <c r="AF12" s="14">
        <f t="shared" si="8"/>
        <v>-2760310.3312500007</v>
      </c>
      <c r="AG12" s="14">
        <f t="shared" si="9"/>
        <v>3674734.4787499979</v>
      </c>
      <c r="AH12" s="15">
        <f t="shared" si="10"/>
        <v>-0.75115912379850402</v>
      </c>
      <c r="AI12" s="17">
        <f t="shared" si="11"/>
        <v>-10109779.288749997</v>
      </c>
      <c r="AJ12" s="11">
        <f t="shared" si="12"/>
        <v>2</v>
      </c>
      <c r="AK12" s="1">
        <v>8</v>
      </c>
      <c r="AL12" t="s">
        <v>45</v>
      </c>
    </row>
    <row r="13" spans="1:38">
      <c r="A13" s="1">
        <v>8</v>
      </c>
      <c r="B13" t="s">
        <v>45</v>
      </c>
      <c r="C13" s="1" t="s">
        <v>66</v>
      </c>
      <c r="D13" t="s">
        <v>67</v>
      </c>
      <c r="E13" t="s">
        <v>3</v>
      </c>
      <c r="F13" s="2">
        <v>16401042.82</v>
      </c>
      <c r="G13" s="2">
        <v>14659641.07</v>
      </c>
      <c r="H13" s="2">
        <v>1.1200000000000001</v>
      </c>
      <c r="I13" s="2">
        <v>2453334</v>
      </c>
      <c r="J13" s="2">
        <v>171635.07</v>
      </c>
      <c r="K13" s="2">
        <v>8832889.8999999985</v>
      </c>
      <c r="L13" s="2">
        <v>0</v>
      </c>
      <c r="M13" s="2">
        <v>3201782.1</v>
      </c>
      <c r="N13" s="4">
        <f t="shared" si="0"/>
        <v>14659641.069999998</v>
      </c>
      <c r="O13" s="7">
        <v>48</v>
      </c>
      <c r="P13" s="7">
        <v>44</v>
      </c>
      <c r="Q13" s="7">
        <v>121</v>
      </c>
      <c r="R13" s="6">
        <v>0</v>
      </c>
      <c r="S13" s="16">
        <v>10359793.811250001</v>
      </c>
      <c r="T13" s="10">
        <f t="shared" si="1"/>
        <v>2453334</v>
      </c>
      <c r="U13" s="10">
        <f t="shared" si="2"/>
        <v>171635.07</v>
      </c>
      <c r="V13" s="10">
        <f t="shared" si="3"/>
        <v>8832889.8999999985</v>
      </c>
      <c r="W13" s="10">
        <f t="shared" si="4"/>
        <v>0</v>
      </c>
      <c r="X13" s="10">
        <f t="shared" si="5"/>
        <v>3201782.1</v>
      </c>
      <c r="Y13" s="12">
        <f t="shared" si="6"/>
        <v>14659641.069999998</v>
      </c>
      <c r="Z13" s="9">
        <v>1249743.75</v>
      </c>
      <c r="AA13" s="9">
        <v>105076.1125</v>
      </c>
      <c r="AB13" s="9">
        <v>2405413.1112500001</v>
      </c>
      <c r="AC13" s="9">
        <v>572112.125</v>
      </c>
      <c r="AD13" s="9"/>
      <c r="AE13" s="13">
        <f t="shared" si="7"/>
        <v>4332345.0987499999</v>
      </c>
      <c r="AF13" s="14">
        <f t="shared" si="8"/>
        <v>-8618392.0612499993</v>
      </c>
      <c r="AG13" s="14">
        <f t="shared" si="9"/>
        <v>4332345.0987500008</v>
      </c>
      <c r="AH13" s="15">
        <f t="shared" si="10"/>
        <v>-1.9893133775831107</v>
      </c>
      <c r="AI13" s="17">
        <f t="shared" si="11"/>
        <v>-17283082.258749999</v>
      </c>
      <c r="AJ13" s="11">
        <f t="shared" si="12"/>
        <v>1.9999999999999996</v>
      </c>
      <c r="AK13" s="1">
        <v>8</v>
      </c>
      <c r="AL13" t="s">
        <v>45</v>
      </c>
    </row>
    <row r="14" spans="1:38">
      <c r="A14" s="1">
        <v>8</v>
      </c>
      <c r="B14" t="s">
        <v>45</v>
      </c>
      <c r="C14" s="1" t="s">
        <v>68</v>
      </c>
      <c r="D14" t="s">
        <v>69</v>
      </c>
      <c r="E14" t="s">
        <v>3</v>
      </c>
      <c r="F14" s="2">
        <v>35554024.899999999</v>
      </c>
      <c r="G14" s="2">
        <v>17797372.41</v>
      </c>
      <c r="H14" s="2">
        <v>2</v>
      </c>
      <c r="I14" s="2">
        <v>4666260.25</v>
      </c>
      <c r="J14" s="2">
        <v>262513.15999999997</v>
      </c>
      <c r="K14" s="2">
        <v>9894866.9200000018</v>
      </c>
      <c r="L14" s="2">
        <v>0</v>
      </c>
      <c r="M14" s="2">
        <v>2973732.08</v>
      </c>
      <c r="N14" s="4">
        <f t="shared" si="0"/>
        <v>17797372.410000004</v>
      </c>
      <c r="O14" s="7">
        <v>44</v>
      </c>
      <c r="P14" s="7">
        <v>50</v>
      </c>
      <c r="Q14" s="7">
        <v>70</v>
      </c>
      <c r="R14" s="6">
        <v>0</v>
      </c>
      <c r="S14" s="16">
        <v>13332205.008749999</v>
      </c>
      <c r="T14" s="10">
        <f t="shared" si="1"/>
        <v>4666260.25</v>
      </c>
      <c r="U14" s="10">
        <f t="shared" si="2"/>
        <v>262513.15999999997</v>
      </c>
      <c r="V14" s="10">
        <f t="shared" si="3"/>
        <v>9894866.9200000018</v>
      </c>
      <c r="W14" s="10">
        <f t="shared" si="4"/>
        <v>0</v>
      </c>
      <c r="X14" s="10">
        <f t="shared" si="5"/>
        <v>2973732.08</v>
      </c>
      <c r="Y14" s="12">
        <f t="shared" si="6"/>
        <v>17797372.410000004</v>
      </c>
      <c r="Z14" s="9">
        <v>2569296.53125</v>
      </c>
      <c r="AA14" s="9">
        <v>208643.25000000003</v>
      </c>
      <c r="AB14" s="9">
        <v>3773152.9162499998</v>
      </c>
      <c r="AC14" s="9">
        <v>263175</v>
      </c>
      <c r="AD14" s="9"/>
      <c r="AE14" s="13">
        <f t="shared" si="7"/>
        <v>6814267.6974999998</v>
      </c>
      <c r="AF14" s="14">
        <f t="shared" si="8"/>
        <v>4424447.4812499955</v>
      </c>
      <c r="AG14" s="14">
        <f t="shared" si="9"/>
        <v>6814267.6974999979</v>
      </c>
      <c r="AH14" s="15">
        <f t="shared" si="10"/>
        <v>0.64929170347581533</v>
      </c>
      <c r="AI14" s="17">
        <f t="shared" si="11"/>
        <v>-9204087.9137500003</v>
      </c>
      <c r="AJ14" s="11">
        <f t="shared" si="12"/>
        <v>2</v>
      </c>
      <c r="AK14" s="1">
        <v>8</v>
      </c>
      <c r="AL14" t="s">
        <v>45</v>
      </c>
    </row>
    <row r="15" spans="1:38">
      <c r="A15" s="1">
        <v>8</v>
      </c>
      <c r="B15" t="s">
        <v>45</v>
      </c>
      <c r="C15" s="1" t="s">
        <v>70</v>
      </c>
      <c r="D15" t="s">
        <v>71</v>
      </c>
      <c r="E15" t="s">
        <v>3</v>
      </c>
      <c r="F15" s="2">
        <v>43511552.829999998</v>
      </c>
      <c r="G15" s="2">
        <v>50080863.539999999</v>
      </c>
      <c r="H15" s="2">
        <v>0.87</v>
      </c>
      <c r="I15" s="2">
        <v>7555600</v>
      </c>
      <c r="J15" s="2">
        <v>200853.97</v>
      </c>
      <c r="K15" s="2">
        <v>38841730.929999992</v>
      </c>
      <c r="L15" s="2">
        <v>46397</v>
      </c>
      <c r="M15" s="2">
        <v>3436281.64</v>
      </c>
      <c r="N15" s="4">
        <f t="shared" si="0"/>
        <v>50080863.539999992</v>
      </c>
      <c r="O15" s="7">
        <v>60</v>
      </c>
      <c r="P15" s="7">
        <v>67</v>
      </c>
      <c r="Q15" s="7">
        <v>202</v>
      </c>
      <c r="R15" s="6">
        <v>1</v>
      </c>
      <c r="S15" s="16">
        <v>17992955.467500001</v>
      </c>
      <c r="T15" s="10">
        <f t="shared" si="1"/>
        <v>7555600</v>
      </c>
      <c r="U15" s="10">
        <f t="shared" si="2"/>
        <v>200853.97</v>
      </c>
      <c r="V15" s="10">
        <f t="shared" si="3"/>
        <v>38841730.929999992</v>
      </c>
      <c r="W15" s="10">
        <f t="shared" si="4"/>
        <v>46397</v>
      </c>
      <c r="X15" s="10">
        <f t="shared" si="5"/>
        <v>3436281.64</v>
      </c>
      <c r="Y15" s="12">
        <f t="shared" si="6"/>
        <v>50080863.539999992</v>
      </c>
      <c r="Z15" s="9">
        <v>2487180</v>
      </c>
      <c r="AA15" s="9">
        <v>183532.72750000004</v>
      </c>
      <c r="AB15" s="9">
        <v>5058813.4087500004</v>
      </c>
      <c r="AC15" s="9">
        <v>780587.09375</v>
      </c>
      <c r="AD15" s="9"/>
      <c r="AE15" s="13">
        <f t="shared" si="7"/>
        <v>8510113.2300000004</v>
      </c>
      <c r="AF15" s="14">
        <f t="shared" si="8"/>
        <v>-24562266.177499995</v>
      </c>
      <c r="AG15" s="14">
        <f t="shared" si="9"/>
        <v>8510113.2300000042</v>
      </c>
      <c r="AH15" s="15">
        <f t="shared" si="10"/>
        <v>-2.8862443440720216</v>
      </c>
      <c r="AI15" s="17">
        <f t="shared" si="11"/>
        <v>-41582492.63750001</v>
      </c>
      <c r="AJ15" s="11">
        <f t="shared" si="12"/>
        <v>2.0000000000000009</v>
      </c>
      <c r="AK15" s="1">
        <v>8</v>
      </c>
      <c r="AL15" t="s">
        <v>45</v>
      </c>
    </row>
    <row r="16" spans="1:38">
      <c r="A16" s="1">
        <v>8</v>
      </c>
      <c r="B16" t="s">
        <v>45</v>
      </c>
      <c r="C16" s="1" t="s">
        <v>72</v>
      </c>
      <c r="D16" t="s">
        <v>73</v>
      </c>
      <c r="E16" t="s">
        <v>3</v>
      </c>
      <c r="F16" s="2">
        <v>67618780.040000007</v>
      </c>
      <c r="G16" s="2">
        <v>9689075.6500000004</v>
      </c>
      <c r="H16" s="2">
        <v>6.98</v>
      </c>
      <c r="I16" s="2">
        <v>1945820</v>
      </c>
      <c r="J16" s="2">
        <v>230012.89</v>
      </c>
      <c r="K16" s="2">
        <v>6341763.4100000001</v>
      </c>
      <c r="L16" s="2">
        <v>0</v>
      </c>
      <c r="M16" s="2">
        <v>1171479.3500000001</v>
      </c>
      <c r="N16" s="4">
        <f t="shared" si="0"/>
        <v>9689075.6500000004</v>
      </c>
      <c r="O16" s="7">
        <v>34</v>
      </c>
      <c r="P16" s="7">
        <v>36</v>
      </c>
      <c r="Q16" s="7">
        <v>87</v>
      </c>
      <c r="R16" s="6">
        <v>0</v>
      </c>
      <c r="S16" s="16">
        <v>9243107.6737500019</v>
      </c>
      <c r="T16" s="10">
        <f t="shared" si="1"/>
        <v>1945820</v>
      </c>
      <c r="U16" s="10">
        <f t="shared" si="2"/>
        <v>230012.89</v>
      </c>
      <c r="V16" s="10">
        <f t="shared" si="3"/>
        <v>6341763.4100000001</v>
      </c>
      <c r="W16" s="10">
        <f t="shared" si="4"/>
        <v>0</v>
      </c>
      <c r="X16" s="10">
        <f t="shared" si="5"/>
        <v>1171479.3500000001</v>
      </c>
      <c r="Y16" s="12">
        <f t="shared" si="6"/>
        <v>9689075.6500000004</v>
      </c>
      <c r="Z16" s="9">
        <v>1492705</v>
      </c>
      <c r="AA16" s="9">
        <v>166509.00999999998</v>
      </c>
      <c r="AB16" s="9">
        <v>2348458.7299999995</v>
      </c>
      <c r="AC16" s="9">
        <v>178950</v>
      </c>
      <c r="AD16" s="9"/>
      <c r="AE16" s="13">
        <f t="shared" si="7"/>
        <v>4186622.7399999993</v>
      </c>
      <c r="AF16" s="14">
        <f t="shared" si="8"/>
        <v>48686596.71625001</v>
      </c>
      <c r="AG16" s="14">
        <f t="shared" si="9"/>
        <v>4186622.74</v>
      </c>
      <c r="AH16" s="15">
        <f t="shared" si="10"/>
        <v>11.629086196634475</v>
      </c>
      <c r="AI16" s="17">
        <f t="shared" si="11"/>
        <v>40313351.236250006</v>
      </c>
      <c r="AJ16" s="11">
        <f t="shared" si="12"/>
        <v>2.0000000000000009</v>
      </c>
      <c r="AK16" s="1">
        <v>8</v>
      </c>
      <c r="AL16" t="s">
        <v>45</v>
      </c>
    </row>
    <row r="17" spans="1:38">
      <c r="A17" s="1">
        <v>8</v>
      </c>
      <c r="B17" t="s">
        <v>45</v>
      </c>
      <c r="C17" s="1" t="s">
        <v>75</v>
      </c>
      <c r="D17" t="s">
        <v>76</v>
      </c>
      <c r="E17" t="s">
        <v>3</v>
      </c>
      <c r="F17" s="2">
        <v>16527462.65</v>
      </c>
      <c r="G17" s="2">
        <v>7847292.6600000001</v>
      </c>
      <c r="H17" s="2">
        <v>2.11</v>
      </c>
      <c r="I17" s="2">
        <v>1347505</v>
      </c>
      <c r="J17" s="2">
        <v>117299.84</v>
      </c>
      <c r="K17" s="2">
        <v>4670878.53</v>
      </c>
      <c r="L17" s="2">
        <v>0</v>
      </c>
      <c r="M17" s="2">
        <v>1711609.29</v>
      </c>
      <c r="N17" s="4">
        <f t="shared" si="0"/>
        <v>7847292.6600000001</v>
      </c>
      <c r="O17" s="7">
        <v>42</v>
      </c>
      <c r="P17" s="7">
        <v>28</v>
      </c>
      <c r="Q17" s="7">
        <v>128</v>
      </c>
      <c r="R17" s="6">
        <v>0</v>
      </c>
      <c r="S17" s="16">
        <v>6465915.4125000006</v>
      </c>
      <c r="T17" s="10">
        <f t="shared" si="1"/>
        <v>1347505</v>
      </c>
      <c r="U17" s="10">
        <f t="shared" si="2"/>
        <v>117299.84</v>
      </c>
      <c r="V17" s="10">
        <f t="shared" si="3"/>
        <v>4670878.53</v>
      </c>
      <c r="W17" s="10">
        <f t="shared" si="4"/>
        <v>0</v>
      </c>
      <c r="X17" s="10">
        <f t="shared" si="5"/>
        <v>1711609.29</v>
      </c>
      <c r="Y17" s="12">
        <f t="shared" si="6"/>
        <v>7847292.6600000001</v>
      </c>
      <c r="Z17" s="9">
        <v>995723.1875</v>
      </c>
      <c r="AA17" s="9">
        <v>117707.83000000002</v>
      </c>
      <c r="AB17" s="9">
        <v>1383393.19875</v>
      </c>
      <c r="AC17" s="9">
        <v>163537.5</v>
      </c>
      <c r="AD17" s="9"/>
      <c r="AE17" s="13">
        <f t="shared" si="7"/>
        <v>2660361.7162500001</v>
      </c>
      <c r="AF17" s="14">
        <f t="shared" si="8"/>
        <v>2214254.5775000006</v>
      </c>
      <c r="AG17" s="14">
        <f t="shared" si="9"/>
        <v>2660361.7162500005</v>
      </c>
      <c r="AH17" s="15">
        <f t="shared" si="10"/>
        <v>0.83231335196823353</v>
      </c>
      <c r="AI17" s="17">
        <f t="shared" si="11"/>
        <v>-3106468.8550000004</v>
      </c>
      <c r="AJ17" s="11">
        <f t="shared" si="12"/>
        <v>2</v>
      </c>
      <c r="AK17" s="1">
        <v>8</v>
      </c>
      <c r="AL17" t="s">
        <v>45</v>
      </c>
    </row>
    <row r="18" spans="1:38">
      <c r="A18" s="1">
        <v>8</v>
      </c>
      <c r="B18" t="s">
        <v>5</v>
      </c>
      <c r="C18" s="1" t="s">
        <v>6</v>
      </c>
      <c r="D18" t="s">
        <v>7</v>
      </c>
      <c r="E18" t="s">
        <v>4</v>
      </c>
      <c r="F18" s="2">
        <v>264222373.33000001</v>
      </c>
      <c r="G18" s="2">
        <v>215877991.41</v>
      </c>
      <c r="H18" s="2">
        <v>1.22</v>
      </c>
      <c r="I18" s="2">
        <v>2088556.91</v>
      </c>
      <c r="J18" s="2">
        <v>3703162.54</v>
      </c>
      <c r="K18" s="2">
        <v>143170003.19999999</v>
      </c>
      <c r="L18" s="2">
        <v>1130766.1299999999</v>
      </c>
      <c r="M18" s="2">
        <v>65785502.630000003</v>
      </c>
      <c r="N18" s="4">
        <f t="shared" si="0"/>
        <v>215877991.40999997</v>
      </c>
      <c r="O18" s="7">
        <v>5</v>
      </c>
      <c r="P18" s="7">
        <v>60</v>
      </c>
      <c r="Q18" s="7">
        <v>99</v>
      </c>
      <c r="R18" s="6">
        <v>31</v>
      </c>
      <c r="S18" s="16">
        <v>71596676.0625</v>
      </c>
      <c r="T18" s="10">
        <f t="shared" si="1"/>
        <v>2088556.91</v>
      </c>
      <c r="U18" s="10">
        <f t="shared" si="2"/>
        <v>3703162.54</v>
      </c>
      <c r="V18" s="10">
        <f t="shared" si="3"/>
        <v>143170003.19999999</v>
      </c>
      <c r="W18" s="10">
        <f t="shared" si="4"/>
        <v>1130766.1299999999</v>
      </c>
      <c r="X18" s="10">
        <f t="shared" si="5"/>
        <v>65785502.630000003</v>
      </c>
      <c r="Y18" s="12">
        <f t="shared" si="6"/>
        <v>215877991.40999997</v>
      </c>
      <c r="Z18" s="9">
        <v>10944083.52125</v>
      </c>
      <c r="AA18" s="9">
        <v>1745365.8162500001</v>
      </c>
      <c r="AB18" s="9">
        <v>40417204.910000004</v>
      </c>
      <c r="AC18" s="9">
        <v>726592.56624999992</v>
      </c>
      <c r="AD18" s="9"/>
      <c r="AE18" s="13">
        <f t="shared" si="7"/>
        <v>53833246.813749999</v>
      </c>
      <c r="AF18" s="14">
        <f t="shared" si="8"/>
        <v>-23252294.142499954</v>
      </c>
      <c r="AG18" s="14">
        <f t="shared" si="9"/>
        <v>53833246.813750029</v>
      </c>
      <c r="AH18" s="15">
        <f t="shared" si="10"/>
        <v>-0.43193185473183976</v>
      </c>
      <c r="AI18" s="17">
        <f t="shared" si="11"/>
        <v>-130918787.77</v>
      </c>
      <c r="AJ18" s="11">
        <f t="shared" si="12"/>
        <v>1.9999999999999998</v>
      </c>
      <c r="AK18" s="1">
        <v>8</v>
      </c>
      <c r="AL18" t="s">
        <v>5</v>
      </c>
    </row>
    <row r="19" spans="1:38">
      <c r="A19" s="1">
        <v>8</v>
      </c>
      <c r="B19" t="s">
        <v>5</v>
      </c>
      <c r="C19" s="1" t="s">
        <v>8</v>
      </c>
      <c r="D19" t="s">
        <v>9</v>
      </c>
      <c r="E19" t="s">
        <v>3</v>
      </c>
      <c r="F19" s="2">
        <v>80542198.599999994</v>
      </c>
      <c r="G19" s="2">
        <v>9144228.7799999993</v>
      </c>
      <c r="H19" s="2">
        <v>8.81</v>
      </c>
      <c r="I19" s="2">
        <v>1269166</v>
      </c>
      <c r="J19" s="2">
        <v>0</v>
      </c>
      <c r="K19" s="2">
        <v>6801658.8199999994</v>
      </c>
      <c r="L19" s="2">
        <v>0</v>
      </c>
      <c r="M19" s="2">
        <v>1073403.96</v>
      </c>
      <c r="N19" s="4">
        <f t="shared" si="0"/>
        <v>9144228.7799999993</v>
      </c>
      <c r="O19" s="7">
        <v>20</v>
      </c>
      <c r="P19" s="7">
        <v>0</v>
      </c>
      <c r="Q19" s="7">
        <v>90</v>
      </c>
      <c r="R19" s="6">
        <v>0</v>
      </c>
      <c r="S19" s="16">
        <v>9262763.7074999996</v>
      </c>
      <c r="T19" s="10">
        <f t="shared" si="1"/>
        <v>1269166</v>
      </c>
      <c r="U19" s="10">
        <f t="shared" si="2"/>
        <v>0</v>
      </c>
      <c r="V19" s="10">
        <f t="shared" si="3"/>
        <v>6801658.8199999994</v>
      </c>
      <c r="W19" s="10">
        <f t="shared" si="4"/>
        <v>0</v>
      </c>
      <c r="X19" s="10">
        <f t="shared" si="5"/>
        <v>1073403.96</v>
      </c>
      <c r="Y19" s="12">
        <f t="shared" si="6"/>
        <v>9144228.7799999993</v>
      </c>
      <c r="Z19" s="9">
        <v>2015542.625</v>
      </c>
      <c r="AA19" s="9">
        <v>265638.81</v>
      </c>
      <c r="AB19" s="9">
        <v>2671725.875</v>
      </c>
      <c r="AC19" s="9">
        <v>0</v>
      </c>
      <c r="AD19" s="9"/>
      <c r="AE19" s="13">
        <f t="shared" si="7"/>
        <v>4952907.3100000005</v>
      </c>
      <c r="AF19" s="14">
        <f t="shared" si="8"/>
        <v>62135206.112499997</v>
      </c>
      <c r="AG19" s="14">
        <f t="shared" si="9"/>
        <v>4952907.3100000005</v>
      </c>
      <c r="AH19" s="15">
        <f t="shared" si="10"/>
        <v>12.545198652728269</v>
      </c>
      <c r="AI19" s="17">
        <f t="shared" si="11"/>
        <v>52229391.4925</v>
      </c>
      <c r="AJ19" s="11">
        <f t="shared" si="12"/>
        <v>1.9999999999999993</v>
      </c>
      <c r="AK19" s="1">
        <v>8</v>
      </c>
      <c r="AL19" t="s">
        <v>5</v>
      </c>
    </row>
    <row r="20" spans="1:38">
      <c r="A20" s="1">
        <v>8</v>
      </c>
      <c r="B20" t="s">
        <v>5</v>
      </c>
      <c r="C20" s="1" t="s">
        <v>10</v>
      </c>
      <c r="D20" t="s">
        <v>11</v>
      </c>
      <c r="E20" t="s">
        <v>3</v>
      </c>
      <c r="F20" s="2">
        <v>47912329.439999998</v>
      </c>
      <c r="G20" s="2">
        <v>14712089.939999999</v>
      </c>
      <c r="H20" s="2">
        <v>3.26</v>
      </c>
      <c r="I20" s="2">
        <v>1439300</v>
      </c>
      <c r="J20" s="2">
        <v>234145</v>
      </c>
      <c r="K20" s="2">
        <v>7707023.2899999991</v>
      </c>
      <c r="L20" s="2">
        <v>731530.95</v>
      </c>
      <c r="M20" s="2">
        <v>4600090.7</v>
      </c>
      <c r="N20" s="4">
        <f t="shared" si="0"/>
        <v>14712089.939999998</v>
      </c>
      <c r="O20" s="7">
        <v>33</v>
      </c>
      <c r="P20" s="7">
        <v>22</v>
      </c>
      <c r="Q20" s="7">
        <v>79</v>
      </c>
      <c r="R20" s="6">
        <v>119</v>
      </c>
      <c r="S20" s="16">
        <v>9920836.9987500012</v>
      </c>
      <c r="T20" s="10">
        <f t="shared" si="1"/>
        <v>1439300</v>
      </c>
      <c r="U20" s="10">
        <f t="shared" si="2"/>
        <v>234145</v>
      </c>
      <c r="V20" s="10">
        <f t="shared" si="3"/>
        <v>7707023.2899999991</v>
      </c>
      <c r="W20" s="10">
        <f t="shared" si="4"/>
        <v>731530.95</v>
      </c>
      <c r="X20" s="10">
        <f t="shared" si="5"/>
        <v>4600090.7</v>
      </c>
      <c r="Y20" s="12">
        <f t="shared" si="6"/>
        <v>14712089.939999998</v>
      </c>
      <c r="Z20" s="9">
        <v>1418602.71875</v>
      </c>
      <c r="AA20" s="9">
        <v>310856.07999999996</v>
      </c>
      <c r="AB20" s="9">
        <v>3067543.4787499998</v>
      </c>
      <c r="AC20" s="9">
        <v>237711.38750000001</v>
      </c>
      <c r="AD20" s="9"/>
      <c r="AE20" s="13">
        <f t="shared" si="7"/>
        <v>5034713.665</v>
      </c>
      <c r="AF20" s="14">
        <f t="shared" si="8"/>
        <v>23279402.501249999</v>
      </c>
      <c r="AG20" s="14">
        <f t="shared" si="9"/>
        <v>5034713.6650000028</v>
      </c>
      <c r="AH20" s="15">
        <f t="shared" si="10"/>
        <v>4.6237788383244602</v>
      </c>
      <c r="AI20" s="17">
        <f t="shared" si="11"/>
        <v>13209975.171249993</v>
      </c>
      <c r="AJ20" s="11">
        <f t="shared" si="12"/>
        <v>2</v>
      </c>
      <c r="AK20" s="1">
        <v>8</v>
      </c>
      <c r="AL20" t="s">
        <v>5</v>
      </c>
    </row>
    <row r="21" spans="1:38">
      <c r="A21" s="1">
        <v>8</v>
      </c>
      <c r="B21" t="s">
        <v>5</v>
      </c>
      <c r="C21" s="1" t="s">
        <v>12</v>
      </c>
      <c r="D21" t="s">
        <v>13</v>
      </c>
      <c r="E21" t="s">
        <v>3</v>
      </c>
      <c r="F21" s="2">
        <v>39443015.270000003</v>
      </c>
      <c r="G21" s="2">
        <v>15649891.4</v>
      </c>
      <c r="H21" s="2">
        <v>2.52</v>
      </c>
      <c r="I21" s="2">
        <v>1698100</v>
      </c>
      <c r="J21" s="2">
        <v>162081.60999999999</v>
      </c>
      <c r="K21" s="2">
        <v>11003586.5</v>
      </c>
      <c r="L21" s="2">
        <v>2161625.21</v>
      </c>
      <c r="M21" s="2">
        <v>624498.08000000007</v>
      </c>
      <c r="N21" s="4">
        <f t="shared" si="0"/>
        <v>15649891.4</v>
      </c>
      <c r="O21" s="7">
        <v>110</v>
      </c>
      <c r="P21" s="7">
        <v>35</v>
      </c>
      <c r="Q21" s="7">
        <v>145</v>
      </c>
      <c r="R21" s="6">
        <v>477</v>
      </c>
      <c r="S21" s="16">
        <v>7960148.5912500005</v>
      </c>
      <c r="T21" s="10">
        <f t="shared" si="1"/>
        <v>1698100</v>
      </c>
      <c r="U21" s="10">
        <f t="shared" si="2"/>
        <v>162081.60999999999</v>
      </c>
      <c r="V21" s="10">
        <f t="shared" si="3"/>
        <v>11003586.5</v>
      </c>
      <c r="W21" s="10">
        <f t="shared" si="4"/>
        <v>2161625.21</v>
      </c>
      <c r="X21" s="10">
        <f t="shared" si="5"/>
        <v>624498.08000000007</v>
      </c>
      <c r="Y21" s="12">
        <f t="shared" si="6"/>
        <v>15649891.4</v>
      </c>
      <c r="Z21" s="9">
        <v>912175</v>
      </c>
      <c r="AA21" s="9">
        <v>133392.32999999999</v>
      </c>
      <c r="AB21" s="9">
        <v>2329385.81</v>
      </c>
      <c r="AC21" s="9">
        <v>123307.90625</v>
      </c>
      <c r="AD21" s="9"/>
      <c r="AE21" s="13">
        <f t="shared" si="7"/>
        <v>3498261.0462500001</v>
      </c>
      <c r="AF21" s="14">
        <f t="shared" si="8"/>
        <v>15832975.278750001</v>
      </c>
      <c r="AG21" s="14">
        <f t="shared" si="9"/>
        <v>3498261.0462499987</v>
      </c>
      <c r="AH21" s="15">
        <f t="shared" si="10"/>
        <v>4.5259559162179563</v>
      </c>
      <c r="AI21" s="17">
        <f t="shared" si="11"/>
        <v>8836453.1862500012</v>
      </c>
      <c r="AJ21" s="11">
        <f t="shared" si="12"/>
        <v>2.0000000000000004</v>
      </c>
      <c r="AK21" s="1">
        <v>8</v>
      </c>
      <c r="AL21" t="s">
        <v>5</v>
      </c>
    </row>
    <row r="22" spans="1:38">
      <c r="A22" s="1">
        <v>8</v>
      </c>
      <c r="B22" t="s">
        <v>5</v>
      </c>
      <c r="C22" s="1" t="s">
        <v>14</v>
      </c>
      <c r="D22" t="s">
        <v>15</v>
      </c>
      <c r="E22" t="s">
        <v>3</v>
      </c>
      <c r="F22" s="2">
        <v>21742228.859999999</v>
      </c>
      <c r="G22" s="2">
        <v>10145460.9</v>
      </c>
      <c r="H22" s="2">
        <v>2.14</v>
      </c>
      <c r="I22" s="2">
        <v>784775</v>
      </c>
      <c r="J22" s="2">
        <v>136778.57999999999</v>
      </c>
      <c r="K22" s="2">
        <v>8523177.8399999999</v>
      </c>
      <c r="L22" s="2">
        <v>350678.8</v>
      </c>
      <c r="M22" s="2">
        <v>350050.68</v>
      </c>
      <c r="N22" s="4">
        <f t="shared" si="0"/>
        <v>10145460.9</v>
      </c>
      <c r="O22" s="7">
        <v>67</v>
      </c>
      <c r="P22" s="7">
        <v>20</v>
      </c>
      <c r="Q22" s="7">
        <v>123</v>
      </c>
      <c r="R22" s="6">
        <v>164</v>
      </c>
      <c r="S22" s="16">
        <v>6969238.0724999998</v>
      </c>
      <c r="T22" s="10">
        <f t="shared" si="1"/>
        <v>784775</v>
      </c>
      <c r="U22" s="10">
        <f t="shared" si="2"/>
        <v>136778.57999999999</v>
      </c>
      <c r="V22" s="10">
        <f t="shared" si="3"/>
        <v>8523177.8399999999</v>
      </c>
      <c r="W22" s="10">
        <f t="shared" si="4"/>
        <v>350678.8</v>
      </c>
      <c r="X22" s="10">
        <f t="shared" si="5"/>
        <v>350050.68</v>
      </c>
      <c r="Y22" s="12">
        <f t="shared" si="6"/>
        <v>10145460.9</v>
      </c>
      <c r="Z22" s="9">
        <v>959501.25</v>
      </c>
      <c r="AA22" s="9">
        <v>98364.860000000015</v>
      </c>
      <c r="AB22" s="9">
        <v>1945837.7487499998</v>
      </c>
      <c r="AC22" s="9">
        <v>53317.724999999999</v>
      </c>
      <c r="AD22" s="9"/>
      <c r="AE22" s="13">
        <f t="shared" si="7"/>
        <v>3057021.5837499998</v>
      </c>
      <c r="AF22" s="14">
        <f t="shared" si="8"/>
        <v>4627529.8874999993</v>
      </c>
      <c r="AG22" s="14">
        <f t="shared" si="9"/>
        <v>3057021.5837500002</v>
      </c>
      <c r="AH22" s="15">
        <f t="shared" si="10"/>
        <v>1.5137380488571759</v>
      </c>
      <c r="AI22" s="17">
        <f t="shared" si="11"/>
        <v>-1486513.2800000014</v>
      </c>
      <c r="AJ22" s="11">
        <f t="shared" si="12"/>
        <v>2</v>
      </c>
      <c r="AK22" s="1">
        <v>8</v>
      </c>
      <c r="AL22" t="s">
        <v>5</v>
      </c>
    </row>
    <row r="23" spans="1:38">
      <c r="A23" s="1">
        <v>8</v>
      </c>
      <c r="B23" t="s">
        <v>5</v>
      </c>
      <c r="C23" s="1" t="s">
        <v>16</v>
      </c>
      <c r="D23" t="s">
        <v>17</v>
      </c>
      <c r="E23" t="s">
        <v>3</v>
      </c>
      <c r="F23" s="2">
        <v>32594443.77</v>
      </c>
      <c r="G23" s="2">
        <v>24234330.609999999</v>
      </c>
      <c r="H23" s="2">
        <v>1.35</v>
      </c>
      <c r="I23" s="2">
        <v>1706021.25</v>
      </c>
      <c r="J23" s="2">
        <v>0</v>
      </c>
      <c r="K23" s="2">
        <v>14788105.27</v>
      </c>
      <c r="L23" s="2">
        <v>1782998.4</v>
      </c>
      <c r="M23" s="2">
        <v>5957205.6900000004</v>
      </c>
      <c r="N23" s="4">
        <f t="shared" si="0"/>
        <v>24234330.609999999</v>
      </c>
      <c r="O23" s="7">
        <v>55</v>
      </c>
      <c r="P23" s="7">
        <v>0</v>
      </c>
      <c r="Q23" s="7">
        <v>139</v>
      </c>
      <c r="R23" s="6">
        <v>213</v>
      </c>
      <c r="S23" s="16">
        <v>11071546.0275</v>
      </c>
      <c r="T23" s="10">
        <f t="shared" si="1"/>
        <v>1706021.25</v>
      </c>
      <c r="U23" s="10">
        <f t="shared" si="2"/>
        <v>0</v>
      </c>
      <c r="V23" s="10">
        <f t="shared" si="3"/>
        <v>14788105.27</v>
      </c>
      <c r="W23" s="10">
        <f t="shared" si="4"/>
        <v>1782998.4</v>
      </c>
      <c r="X23" s="10">
        <f t="shared" si="5"/>
        <v>5957205.6900000004</v>
      </c>
      <c r="Y23" s="12">
        <f t="shared" si="6"/>
        <v>24234330.609999999</v>
      </c>
      <c r="Z23" s="9">
        <v>2133609.5</v>
      </c>
      <c r="AA23" s="9">
        <v>0</v>
      </c>
      <c r="AB23" s="9">
        <v>3231309.4387499993</v>
      </c>
      <c r="AC23" s="9">
        <v>249011.15</v>
      </c>
      <c r="AD23" s="9"/>
      <c r="AE23" s="13">
        <f t="shared" si="7"/>
        <v>5613930.0887499992</v>
      </c>
      <c r="AF23" s="14">
        <f t="shared" si="8"/>
        <v>-2711432.8674999997</v>
      </c>
      <c r="AG23" s="14">
        <f t="shared" si="9"/>
        <v>5613930.0887499973</v>
      </c>
      <c r="AH23" s="15">
        <f t="shared" si="10"/>
        <v>-0.48298301272642491</v>
      </c>
      <c r="AI23" s="17">
        <f t="shared" si="11"/>
        <v>-13939293.044999992</v>
      </c>
      <c r="AJ23" s="11">
        <f t="shared" si="12"/>
        <v>1.9999999999999998</v>
      </c>
      <c r="AK23" s="1">
        <v>8</v>
      </c>
      <c r="AL23" t="s">
        <v>5</v>
      </c>
    </row>
    <row r="24" spans="1:38">
      <c r="A24" s="1">
        <v>8</v>
      </c>
      <c r="B24" t="s">
        <v>5</v>
      </c>
      <c r="C24" s="1" t="s">
        <v>18</v>
      </c>
      <c r="D24" t="s">
        <v>19</v>
      </c>
      <c r="E24" t="s">
        <v>3</v>
      </c>
      <c r="F24" s="2">
        <v>49443786.82</v>
      </c>
      <c r="G24" s="2">
        <v>22910707.809999999</v>
      </c>
      <c r="H24" s="2">
        <v>2.16</v>
      </c>
      <c r="I24" s="2">
        <v>2588752.5</v>
      </c>
      <c r="J24" s="2">
        <v>26497.53</v>
      </c>
      <c r="K24" s="2">
        <v>14602126.440000001</v>
      </c>
      <c r="L24" s="2">
        <v>776044.66</v>
      </c>
      <c r="M24" s="2">
        <v>4917286.68</v>
      </c>
      <c r="N24" s="4">
        <f t="shared" si="0"/>
        <v>22910707.810000002</v>
      </c>
      <c r="O24" s="7">
        <v>74</v>
      </c>
      <c r="P24" s="7">
        <v>8</v>
      </c>
      <c r="Q24" s="7">
        <v>161</v>
      </c>
      <c r="R24" s="6">
        <v>113</v>
      </c>
      <c r="S24" s="16">
        <v>11986160.381250001</v>
      </c>
      <c r="T24" s="10">
        <f t="shared" si="1"/>
        <v>2588752.5</v>
      </c>
      <c r="U24" s="10">
        <f t="shared" si="2"/>
        <v>26497.53</v>
      </c>
      <c r="V24" s="10">
        <f t="shared" si="3"/>
        <v>14602126.440000001</v>
      </c>
      <c r="W24" s="10">
        <f t="shared" si="4"/>
        <v>776044.66</v>
      </c>
      <c r="X24" s="10">
        <f t="shared" si="5"/>
        <v>4917286.68</v>
      </c>
      <c r="Y24" s="12">
        <f t="shared" si="6"/>
        <v>22910707.810000002</v>
      </c>
      <c r="Z24" s="9">
        <v>1921977.1875</v>
      </c>
      <c r="AA24" s="9">
        <v>226932.08374999999</v>
      </c>
      <c r="AB24" s="9">
        <v>2945057.7712500002</v>
      </c>
      <c r="AC24" s="9">
        <v>204083.86</v>
      </c>
      <c r="AD24" s="9"/>
      <c r="AE24" s="13">
        <f t="shared" si="7"/>
        <v>5298050.9025000008</v>
      </c>
      <c r="AF24" s="14">
        <f t="shared" si="8"/>
        <v>14546918.628749996</v>
      </c>
      <c r="AG24" s="14">
        <f t="shared" si="9"/>
        <v>5298050.9024999961</v>
      </c>
      <c r="AH24" s="15">
        <f t="shared" si="10"/>
        <v>2.7457113750805466</v>
      </c>
      <c r="AI24" s="17">
        <f t="shared" ref="AI24:AI87" si="13">+AG24*(AH24-2)</f>
        <v>3950816.8237500032</v>
      </c>
      <c r="AJ24" s="11">
        <f t="shared" ref="AJ24:AJ87" si="14">+(AF24-AI24)/AG24</f>
        <v>2</v>
      </c>
      <c r="AK24" s="1">
        <v>8</v>
      </c>
      <c r="AL24" t="s">
        <v>5</v>
      </c>
    </row>
    <row r="25" spans="1:38">
      <c r="A25" s="1">
        <v>8</v>
      </c>
      <c r="B25" t="s">
        <v>5</v>
      </c>
      <c r="C25" s="1" t="s">
        <v>20</v>
      </c>
      <c r="D25" t="s">
        <v>21</v>
      </c>
      <c r="E25" t="s">
        <v>3</v>
      </c>
      <c r="F25" s="2">
        <v>47239006.329999998</v>
      </c>
      <c r="G25" s="2">
        <v>25892569.84</v>
      </c>
      <c r="H25" s="2">
        <v>1.82</v>
      </c>
      <c r="I25" s="2">
        <v>3131800</v>
      </c>
      <c r="J25" s="2">
        <v>503990.22</v>
      </c>
      <c r="K25" s="2">
        <v>15124590.930000002</v>
      </c>
      <c r="L25" s="2">
        <v>2552165.5999999996</v>
      </c>
      <c r="M25" s="2">
        <v>4580023.0900000008</v>
      </c>
      <c r="N25" s="4">
        <f t="shared" ref="N25:N88" si="15">SUM(I25:M25)</f>
        <v>25892569.84</v>
      </c>
      <c r="O25" s="7">
        <v>36</v>
      </c>
      <c r="P25" s="7">
        <v>34</v>
      </c>
      <c r="Q25" s="7">
        <v>73</v>
      </c>
      <c r="R25" s="6">
        <v>440</v>
      </c>
      <c r="S25" s="16">
        <v>22690024.263749998</v>
      </c>
      <c r="T25" s="10">
        <f t="shared" ref="T25:T88" si="16">SUM(I25)</f>
        <v>3131800</v>
      </c>
      <c r="U25" s="10">
        <f t="shared" ref="U25:U88" si="17">SUM(J25)</f>
        <v>503990.22</v>
      </c>
      <c r="V25" s="10">
        <f t="shared" ref="V25:V88" si="18">SUM(K25)</f>
        <v>15124590.930000002</v>
      </c>
      <c r="W25" s="10">
        <f t="shared" ref="W25:W88" si="19">SUM(L25)</f>
        <v>2552165.5999999996</v>
      </c>
      <c r="X25" s="10">
        <f t="shared" ref="X25:X88" si="20">SUM(M25)</f>
        <v>4580023.0900000008</v>
      </c>
      <c r="Y25" s="12">
        <f t="shared" ref="Y25:Y88" si="21">SUM(T25:X25)</f>
        <v>25892569.84</v>
      </c>
      <c r="Z25" s="9">
        <v>2080968.75</v>
      </c>
      <c r="AA25" s="9">
        <v>436582.75125000003</v>
      </c>
      <c r="AB25" s="9">
        <v>6743244.3812499987</v>
      </c>
      <c r="AC25" s="9">
        <v>177042.47500000001</v>
      </c>
      <c r="AD25" s="9"/>
      <c r="AE25" s="13">
        <f t="shared" ref="AE25:AE88" si="22">SUM(Z25:AD25)</f>
        <v>9437838.3574999981</v>
      </c>
      <c r="AF25" s="14">
        <f t="shared" ref="AF25:AF88" si="23">SUM(F25-S25-Y25)</f>
        <v>-1343587.7737499997</v>
      </c>
      <c r="AG25" s="14">
        <f t="shared" ref="AG25:AG88" si="24">SUM(G25+AE25-Y25)</f>
        <v>9437838.3574999981</v>
      </c>
      <c r="AH25" s="15">
        <f t="shared" ref="AH25:AH88" si="25">SUM(AF25/AG25)</f>
        <v>-0.14236181240403278</v>
      </c>
      <c r="AI25" s="17">
        <f t="shared" si="13"/>
        <v>-20219264.488749996</v>
      </c>
      <c r="AJ25" s="11">
        <f t="shared" si="14"/>
        <v>2</v>
      </c>
      <c r="AK25" s="1">
        <v>8</v>
      </c>
      <c r="AL25" t="s">
        <v>5</v>
      </c>
    </row>
    <row r="26" spans="1:38">
      <c r="A26" s="1">
        <v>8</v>
      </c>
      <c r="B26" t="s">
        <v>5</v>
      </c>
      <c r="C26" s="1" t="s">
        <v>22</v>
      </c>
      <c r="D26" t="s">
        <v>23</v>
      </c>
      <c r="E26" t="s">
        <v>3</v>
      </c>
      <c r="F26" s="2">
        <v>51525942.039999999</v>
      </c>
      <c r="G26" s="2">
        <v>19807034.670000002</v>
      </c>
      <c r="H26" s="2">
        <v>2.6</v>
      </c>
      <c r="I26" s="2">
        <v>1538462.5</v>
      </c>
      <c r="J26" s="2">
        <v>255469.64</v>
      </c>
      <c r="K26" s="2">
        <v>13213096.639999999</v>
      </c>
      <c r="L26" s="2">
        <v>295277</v>
      </c>
      <c r="M26" s="2">
        <v>4504728.8899999997</v>
      </c>
      <c r="N26" s="4">
        <f t="shared" si="15"/>
        <v>19807034.669999998</v>
      </c>
      <c r="O26" s="7">
        <v>57</v>
      </c>
      <c r="P26" s="7">
        <v>36</v>
      </c>
      <c r="Q26" s="7">
        <v>126</v>
      </c>
      <c r="R26" s="6">
        <v>49</v>
      </c>
      <c r="S26" s="16">
        <v>10461718.672499999</v>
      </c>
      <c r="T26" s="10">
        <f t="shared" si="16"/>
        <v>1538462.5</v>
      </c>
      <c r="U26" s="10">
        <f t="shared" si="17"/>
        <v>255469.64</v>
      </c>
      <c r="V26" s="10">
        <f t="shared" si="18"/>
        <v>13213096.639999999</v>
      </c>
      <c r="W26" s="10">
        <f t="shared" si="19"/>
        <v>295277</v>
      </c>
      <c r="X26" s="10">
        <f t="shared" si="20"/>
        <v>4504728.8899999997</v>
      </c>
      <c r="Y26" s="12">
        <f t="shared" si="21"/>
        <v>19807034.669999998</v>
      </c>
      <c r="Z26" s="9">
        <v>1524988.875</v>
      </c>
      <c r="AA26" s="9">
        <v>188619.38874999998</v>
      </c>
      <c r="AB26" s="9">
        <v>2987656.9750000001</v>
      </c>
      <c r="AC26" s="9">
        <v>89557.821250000008</v>
      </c>
      <c r="AD26" s="9"/>
      <c r="AE26" s="13">
        <f t="shared" si="22"/>
        <v>4790823.0599999996</v>
      </c>
      <c r="AF26" s="14">
        <f t="shared" si="23"/>
        <v>21257188.697500002</v>
      </c>
      <c r="AG26" s="14">
        <f t="shared" si="24"/>
        <v>4790823.0600000024</v>
      </c>
      <c r="AH26" s="15">
        <f t="shared" si="25"/>
        <v>4.4370640349844166</v>
      </c>
      <c r="AI26" s="17">
        <f t="shared" si="13"/>
        <v>11675542.577499995</v>
      </c>
      <c r="AJ26" s="11">
        <f t="shared" si="14"/>
        <v>2.0000000000000004</v>
      </c>
      <c r="AK26" s="1">
        <v>8</v>
      </c>
      <c r="AL26" t="s">
        <v>5</v>
      </c>
    </row>
    <row r="27" spans="1:38">
      <c r="A27" s="1">
        <v>8</v>
      </c>
      <c r="B27" t="s">
        <v>5</v>
      </c>
      <c r="C27" s="1" t="s">
        <v>24</v>
      </c>
      <c r="D27" t="s">
        <v>25</v>
      </c>
      <c r="E27" t="s">
        <v>3</v>
      </c>
      <c r="F27" s="2">
        <v>58575972.340000004</v>
      </c>
      <c r="G27" s="2">
        <v>11306359.91</v>
      </c>
      <c r="H27" s="2">
        <v>5.18</v>
      </c>
      <c r="I27" s="2">
        <v>1637000</v>
      </c>
      <c r="J27" s="2">
        <v>220855.83</v>
      </c>
      <c r="K27" s="2">
        <v>6100257.9399999995</v>
      </c>
      <c r="L27" s="2">
        <v>0</v>
      </c>
      <c r="M27" s="2">
        <v>3348246.1399999997</v>
      </c>
      <c r="N27" s="4">
        <f t="shared" si="15"/>
        <v>11306359.91</v>
      </c>
      <c r="O27" s="7">
        <v>33</v>
      </c>
      <c r="P27" s="7">
        <v>33</v>
      </c>
      <c r="Q27" s="7">
        <v>81</v>
      </c>
      <c r="R27" s="6">
        <v>43</v>
      </c>
      <c r="S27" s="16">
        <v>11117743.59</v>
      </c>
      <c r="T27" s="10">
        <f t="shared" si="16"/>
        <v>1637000</v>
      </c>
      <c r="U27" s="10">
        <f t="shared" si="17"/>
        <v>220855.83</v>
      </c>
      <c r="V27" s="10">
        <f t="shared" si="18"/>
        <v>6100257.9399999995</v>
      </c>
      <c r="W27" s="10">
        <f t="shared" si="19"/>
        <v>0</v>
      </c>
      <c r="X27" s="10">
        <f t="shared" si="20"/>
        <v>3348246.1399999997</v>
      </c>
      <c r="Y27" s="12">
        <f t="shared" si="21"/>
        <v>11306359.91</v>
      </c>
      <c r="Z27" s="9">
        <v>1306325.9375</v>
      </c>
      <c r="AA27" s="9">
        <v>195942.84</v>
      </c>
      <c r="AB27" s="9">
        <v>2888946.3775000004</v>
      </c>
      <c r="AC27" s="9">
        <v>236127.625</v>
      </c>
      <c r="AD27" s="9"/>
      <c r="AE27" s="13">
        <f t="shared" si="22"/>
        <v>4627342.78</v>
      </c>
      <c r="AF27" s="14">
        <f t="shared" si="23"/>
        <v>36151868.840000004</v>
      </c>
      <c r="AG27" s="14">
        <f t="shared" si="24"/>
        <v>4627342.7800000012</v>
      </c>
      <c r="AH27" s="15">
        <f t="shared" si="25"/>
        <v>7.8126628086108623</v>
      </c>
      <c r="AI27" s="17">
        <f t="shared" si="13"/>
        <v>26897183.280000001</v>
      </c>
      <c r="AJ27" s="11">
        <f t="shared" si="14"/>
        <v>2</v>
      </c>
      <c r="AK27" s="1">
        <v>8</v>
      </c>
      <c r="AL27" t="s">
        <v>5</v>
      </c>
    </row>
    <row r="28" spans="1:38">
      <c r="A28" s="1">
        <v>8</v>
      </c>
      <c r="B28" t="s">
        <v>5</v>
      </c>
      <c r="C28" s="1" t="s">
        <v>26</v>
      </c>
      <c r="D28" t="s">
        <v>27</v>
      </c>
      <c r="E28" t="s">
        <v>3</v>
      </c>
      <c r="F28" s="2">
        <v>33310232.879999999</v>
      </c>
      <c r="G28" s="2">
        <v>74052285.530000001</v>
      </c>
      <c r="H28" s="2">
        <v>0.45</v>
      </c>
      <c r="I28" s="2">
        <v>3969840</v>
      </c>
      <c r="J28" s="2">
        <v>692382.8</v>
      </c>
      <c r="K28" s="2">
        <v>57813263.019999996</v>
      </c>
      <c r="L28" s="2">
        <v>2007347.26</v>
      </c>
      <c r="M28" s="2">
        <v>9569452.4500000011</v>
      </c>
      <c r="N28" s="4">
        <f t="shared" si="15"/>
        <v>74052285.529999986</v>
      </c>
      <c r="O28" s="7">
        <v>56</v>
      </c>
      <c r="P28" s="7">
        <v>35</v>
      </c>
      <c r="Q28" s="7">
        <v>180</v>
      </c>
      <c r="R28" s="6">
        <v>241</v>
      </c>
      <c r="S28" s="16">
        <v>29260095.836249996</v>
      </c>
      <c r="T28" s="10">
        <f t="shared" si="16"/>
        <v>3969840</v>
      </c>
      <c r="U28" s="10">
        <f t="shared" si="17"/>
        <v>692382.8</v>
      </c>
      <c r="V28" s="10">
        <f t="shared" si="18"/>
        <v>57813263.019999996</v>
      </c>
      <c r="W28" s="10">
        <f t="shared" si="19"/>
        <v>2007347.26</v>
      </c>
      <c r="X28" s="10">
        <f t="shared" si="20"/>
        <v>9569452.4500000011</v>
      </c>
      <c r="Y28" s="12">
        <f t="shared" si="21"/>
        <v>74052285.529999986</v>
      </c>
      <c r="Z28" s="9">
        <v>3502933</v>
      </c>
      <c r="AA28" s="9">
        <v>506107.69750000001</v>
      </c>
      <c r="AB28" s="9">
        <v>10134068.98875</v>
      </c>
      <c r="AC28" s="9">
        <v>229064.3175</v>
      </c>
      <c r="AD28" s="9"/>
      <c r="AE28" s="13">
        <f t="shared" si="22"/>
        <v>14372174.00375</v>
      </c>
      <c r="AF28" s="14">
        <f t="shared" si="23"/>
        <v>-70002148.486249983</v>
      </c>
      <c r="AG28" s="14">
        <f t="shared" si="24"/>
        <v>14372174.003750011</v>
      </c>
      <c r="AH28" s="15">
        <f t="shared" si="25"/>
        <v>-4.8706722078361215</v>
      </c>
      <c r="AI28" s="17">
        <f t="shared" si="13"/>
        <v>-98746496.493750006</v>
      </c>
      <c r="AJ28" s="11">
        <f t="shared" si="14"/>
        <v>2</v>
      </c>
      <c r="AK28" s="1">
        <v>8</v>
      </c>
      <c r="AL28" t="s">
        <v>5</v>
      </c>
    </row>
    <row r="29" spans="1:38">
      <c r="A29" s="1">
        <v>8</v>
      </c>
      <c r="B29" t="s">
        <v>5</v>
      </c>
      <c r="C29" s="1" t="s">
        <v>29</v>
      </c>
      <c r="D29" t="s">
        <v>30</v>
      </c>
      <c r="E29" t="s">
        <v>3</v>
      </c>
      <c r="F29" s="2">
        <v>9038509.4100000001</v>
      </c>
      <c r="G29" s="2">
        <v>7996556.8799999999</v>
      </c>
      <c r="H29" s="2">
        <v>1.1299999999999999</v>
      </c>
      <c r="I29" s="2">
        <v>835702.5</v>
      </c>
      <c r="J29" s="2">
        <v>66773.84</v>
      </c>
      <c r="K29" s="2">
        <v>6188070.6900000004</v>
      </c>
      <c r="L29" s="2">
        <v>714143.16999999993</v>
      </c>
      <c r="M29" s="2">
        <v>191866.68</v>
      </c>
      <c r="N29" s="4">
        <f t="shared" si="15"/>
        <v>7996556.8799999999</v>
      </c>
      <c r="O29" s="7">
        <v>90</v>
      </c>
      <c r="P29" s="7">
        <v>38</v>
      </c>
      <c r="Q29" s="7">
        <v>104</v>
      </c>
      <c r="R29" s="6">
        <v>361</v>
      </c>
      <c r="S29" s="16">
        <v>4298416.1174999997</v>
      </c>
      <c r="T29" s="10">
        <f t="shared" si="16"/>
        <v>835702.5</v>
      </c>
      <c r="U29" s="10">
        <f t="shared" si="17"/>
        <v>66773.84</v>
      </c>
      <c r="V29" s="10">
        <f t="shared" si="18"/>
        <v>6188070.6900000004</v>
      </c>
      <c r="W29" s="10">
        <f t="shared" si="19"/>
        <v>714143.16999999993</v>
      </c>
      <c r="X29" s="10">
        <f t="shared" si="20"/>
        <v>191866.68</v>
      </c>
      <c r="Y29" s="12">
        <f t="shared" si="21"/>
        <v>7996556.8799999999</v>
      </c>
      <c r="Z29" s="9">
        <v>873256.25</v>
      </c>
      <c r="AA29" s="9">
        <v>54857.292500000003</v>
      </c>
      <c r="AB29" s="9">
        <v>1198105.8449999997</v>
      </c>
      <c r="AC29" s="9">
        <v>48540.875</v>
      </c>
      <c r="AD29" s="9"/>
      <c r="AE29" s="13">
        <f t="shared" si="22"/>
        <v>2174760.2624999997</v>
      </c>
      <c r="AF29" s="14">
        <f t="shared" si="23"/>
        <v>-3256463.5874999994</v>
      </c>
      <c r="AG29" s="14">
        <f t="shared" si="24"/>
        <v>2174760.2625000002</v>
      </c>
      <c r="AH29" s="15">
        <f t="shared" si="25"/>
        <v>-1.4973896864183665</v>
      </c>
      <c r="AI29" s="17">
        <f t="shared" si="13"/>
        <v>-7605984.1125000007</v>
      </c>
      <c r="AJ29" s="11">
        <f t="shared" si="14"/>
        <v>2.0000000000000004</v>
      </c>
      <c r="AK29" s="1">
        <v>8</v>
      </c>
      <c r="AL29" t="s">
        <v>5</v>
      </c>
    </row>
    <row r="30" spans="1:38">
      <c r="A30" s="1">
        <v>8</v>
      </c>
      <c r="B30" t="s">
        <v>28</v>
      </c>
      <c r="C30" s="1" t="s">
        <v>31</v>
      </c>
      <c r="D30" t="s">
        <v>32</v>
      </c>
      <c r="E30" t="s">
        <v>4</v>
      </c>
      <c r="F30" s="2">
        <v>217468030.94999999</v>
      </c>
      <c r="G30" s="2">
        <v>116081738.45</v>
      </c>
      <c r="H30" s="2">
        <v>1.87</v>
      </c>
      <c r="I30" s="2">
        <v>11218087.98</v>
      </c>
      <c r="J30" s="2">
        <v>2756708.97</v>
      </c>
      <c r="K30" s="2">
        <v>77037828.629999995</v>
      </c>
      <c r="L30" s="2">
        <v>2897129.27</v>
      </c>
      <c r="M30" s="2">
        <v>22171983.599999998</v>
      </c>
      <c r="N30" s="4">
        <f t="shared" si="15"/>
        <v>116081738.44999999</v>
      </c>
      <c r="O30" s="7">
        <v>38</v>
      </c>
      <c r="P30" s="7">
        <v>65</v>
      </c>
      <c r="Q30" s="7">
        <v>78</v>
      </c>
      <c r="R30" s="6">
        <v>94</v>
      </c>
      <c r="S30" s="16">
        <v>61505562.989999995</v>
      </c>
      <c r="T30" s="10">
        <f t="shared" si="16"/>
        <v>11218087.98</v>
      </c>
      <c r="U30" s="10">
        <f t="shared" si="17"/>
        <v>2756708.97</v>
      </c>
      <c r="V30" s="10">
        <f t="shared" si="18"/>
        <v>77037828.629999995</v>
      </c>
      <c r="W30" s="10">
        <f t="shared" si="19"/>
        <v>2897129.27</v>
      </c>
      <c r="X30" s="10">
        <f t="shared" si="20"/>
        <v>22171983.599999998</v>
      </c>
      <c r="Y30" s="12">
        <f t="shared" si="21"/>
        <v>116081738.44999999</v>
      </c>
      <c r="Z30" s="9">
        <v>7797382.5125000002</v>
      </c>
      <c r="AA30" s="9">
        <v>1201133.915</v>
      </c>
      <c r="AB30" s="9">
        <v>28783197.05875</v>
      </c>
      <c r="AC30" s="9">
        <v>997022.1875</v>
      </c>
      <c r="AD30" s="9"/>
      <c r="AE30" s="13">
        <f t="shared" si="22"/>
        <v>38778735.673749998</v>
      </c>
      <c r="AF30" s="14">
        <f t="shared" si="23"/>
        <v>39880729.50999999</v>
      </c>
      <c r="AG30" s="14">
        <f t="shared" si="24"/>
        <v>38778735.673750013</v>
      </c>
      <c r="AH30" s="15">
        <f t="shared" si="25"/>
        <v>1.0284174771844337</v>
      </c>
      <c r="AI30" s="17">
        <f t="shared" si="13"/>
        <v>-37676741.837500036</v>
      </c>
      <c r="AJ30" s="11">
        <f t="shared" si="14"/>
        <v>2</v>
      </c>
      <c r="AK30" s="1">
        <v>8</v>
      </c>
      <c r="AL30" t="s">
        <v>28</v>
      </c>
    </row>
    <row r="31" spans="1:38">
      <c r="A31" s="1">
        <v>8</v>
      </c>
      <c r="B31" t="s">
        <v>28</v>
      </c>
      <c r="C31" s="1" t="s">
        <v>33</v>
      </c>
      <c r="D31" t="s">
        <v>34</v>
      </c>
      <c r="E31" t="s">
        <v>3</v>
      </c>
      <c r="F31" s="2">
        <v>59689044.270000003</v>
      </c>
      <c r="G31" s="2">
        <v>19122245.800000001</v>
      </c>
      <c r="H31" s="2">
        <v>3.12</v>
      </c>
      <c r="I31" s="2">
        <v>1570189.5</v>
      </c>
      <c r="J31" s="2">
        <v>317141.3</v>
      </c>
      <c r="K31" s="2">
        <v>11586172.529999999</v>
      </c>
      <c r="L31" s="2">
        <v>2039550.47</v>
      </c>
      <c r="M31" s="2">
        <v>3609192</v>
      </c>
      <c r="N31" s="4">
        <f t="shared" si="15"/>
        <v>19122245.800000001</v>
      </c>
      <c r="O31" s="7">
        <v>28</v>
      </c>
      <c r="P31" s="7">
        <v>33</v>
      </c>
      <c r="Q31" s="7">
        <v>124</v>
      </c>
      <c r="R31" s="6">
        <v>227</v>
      </c>
      <c r="S31" s="16">
        <v>11946312.7575</v>
      </c>
      <c r="T31" s="10">
        <f t="shared" si="16"/>
        <v>1570189.5</v>
      </c>
      <c r="U31" s="10">
        <f t="shared" si="17"/>
        <v>317141.3</v>
      </c>
      <c r="V31" s="10">
        <f t="shared" si="18"/>
        <v>11586172.529999999</v>
      </c>
      <c r="W31" s="10">
        <f t="shared" si="19"/>
        <v>2039550.47</v>
      </c>
      <c r="X31" s="10">
        <f t="shared" si="20"/>
        <v>3609192</v>
      </c>
      <c r="Y31" s="12">
        <f t="shared" si="21"/>
        <v>19122245.800000001</v>
      </c>
      <c r="Z31" s="9">
        <v>1505013.71875</v>
      </c>
      <c r="AA31" s="9">
        <v>261934.71375</v>
      </c>
      <c r="AB31" s="9">
        <v>2939001.5225</v>
      </c>
      <c r="AC31" s="9">
        <v>273231.01624999999</v>
      </c>
      <c r="AD31" s="9"/>
      <c r="AE31" s="13">
        <f t="shared" si="22"/>
        <v>4979180.9712500004</v>
      </c>
      <c r="AF31" s="14">
        <f t="shared" si="23"/>
        <v>28620485.712500002</v>
      </c>
      <c r="AG31" s="14">
        <f t="shared" si="24"/>
        <v>4979180.9712500013</v>
      </c>
      <c r="AH31" s="15">
        <f t="shared" si="25"/>
        <v>5.7480308263057482</v>
      </c>
      <c r="AI31" s="17">
        <f t="shared" si="13"/>
        <v>18662123.77</v>
      </c>
      <c r="AJ31" s="11">
        <f t="shared" si="14"/>
        <v>2</v>
      </c>
      <c r="AK31" s="1">
        <v>8</v>
      </c>
      <c r="AL31" t="s">
        <v>28</v>
      </c>
    </row>
    <row r="32" spans="1:38">
      <c r="A32" s="1">
        <v>8</v>
      </c>
      <c r="B32" t="s">
        <v>28</v>
      </c>
      <c r="C32" s="1" t="s">
        <v>35</v>
      </c>
      <c r="D32" t="s">
        <v>36</v>
      </c>
      <c r="E32" t="s">
        <v>3</v>
      </c>
      <c r="F32" s="2">
        <v>40381097.090000004</v>
      </c>
      <c r="G32" s="2">
        <v>20412743.75</v>
      </c>
      <c r="H32" s="2">
        <v>1.98</v>
      </c>
      <c r="I32" s="2">
        <v>2650382.5</v>
      </c>
      <c r="J32" s="2">
        <v>291870.06</v>
      </c>
      <c r="K32" s="2">
        <v>12797685.57</v>
      </c>
      <c r="L32" s="2">
        <v>2563794.48</v>
      </c>
      <c r="M32" s="2">
        <v>2109011.1399999997</v>
      </c>
      <c r="N32" s="4">
        <f t="shared" si="15"/>
        <v>20412743.75</v>
      </c>
      <c r="O32" s="7">
        <v>24</v>
      </c>
      <c r="P32" s="7">
        <v>33</v>
      </c>
      <c r="Q32" s="7">
        <v>108</v>
      </c>
      <c r="R32" s="6">
        <v>361</v>
      </c>
      <c r="S32" s="16">
        <v>21097706.133749999</v>
      </c>
      <c r="T32" s="10">
        <f t="shared" si="16"/>
        <v>2650382.5</v>
      </c>
      <c r="U32" s="10">
        <f t="shared" si="17"/>
        <v>291870.06</v>
      </c>
      <c r="V32" s="10">
        <f t="shared" si="18"/>
        <v>12797685.57</v>
      </c>
      <c r="W32" s="10">
        <f t="shared" si="19"/>
        <v>2563794.48</v>
      </c>
      <c r="X32" s="10">
        <f t="shared" si="20"/>
        <v>2109011.1399999997</v>
      </c>
      <c r="Y32" s="12">
        <f t="shared" si="21"/>
        <v>20412743.75</v>
      </c>
      <c r="Z32" s="9">
        <v>3356731.3125</v>
      </c>
      <c r="AA32" s="9">
        <v>253754.37999999998</v>
      </c>
      <c r="AB32" s="9">
        <v>3978895.0624999995</v>
      </c>
      <c r="AC32" s="9">
        <v>394203.27875</v>
      </c>
      <c r="AD32" s="9"/>
      <c r="AE32" s="13">
        <f t="shared" si="22"/>
        <v>7983584.0337499985</v>
      </c>
      <c r="AF32" s="14">
        <f t="shared" si="23"/>
        <v>-1129352.7937499955</v>
      </c>
      <c r="AG32" s="14">
        <f t="shared" si="24"/>
        <v>7983584.0337499976</v>
      </c>
      <c r="AH32" s="15">
        <f t="shared" si="25"/>
        <v>-0.14145937325588884</v>
      </c>
      <c r="AI32" s="17">
        <f t="shared" si="13"/>
        <v>-17096520.861249991</v>
      </c>
      <c r="AJ32" s="11">
        <f t="shared" si="14"/>
        <v>2</v>
      </c>
      <c r="AK32" s="1">
        <v>8</v>
      </c>
      <c r="AL32" t="s">
        <v>28</v>
      </c>
    </row>
    <row r="33" spans="1:38">
      <c r="A33" s="1">
        <v>8</v>
      </c>
      <c r="B33" t="s">
        <v>28</v>
      </c>
      <c r="C33" s="1" t="s">
        <v>37</v>
      </c>
      <c r="D33" t="s">
        <v>38</v>
      </c>
      <c r="E33" t="s">
        <v>3</v>
      </c>
      <c r="F33" s="2">
        <v>72900930.049999997</v>
      </c>
      <c r="G33" s="2">
        <v>48787505.25</v>
      </c>
      <c r="H33" s="2">
        <v>1.49</v>
      </c>
      <c r="I33" s="2">
        <v>3864771.6</v>
      </c>
      <c r="J33" s="2">
        <v>36193.980000000003</v>
      </c>
      <c r="K33" s="2">
        <v>27480568.030000001</v>
      </c>
      <c r="L33" s="2">
        <v>537588.26</v>
      </c>
      <c r="M33" s="2">
        <v>16868383.380000003</v>
      </c>
      <c r="N33" s="4">
        <f t="shared" si="15"/>
        <v>48787505.25</v>
      </c>
      <c r="O33" s="7">
        <v>32</v>
      </c>
      <c r="P33" s="7">
        <v>4</v>
      </c>
      <c r="Q33" s="7">
        <v>121</v>
      </c>
      <c r="R33" s="6">
        <v>97</v>
      </c>
      <c r="S33" s="16">
        <v>21169299.243750002</v>
      </c>
      <c r="T33" s="10">
        <f t="shared" si="16"/>
        <v>3864771.6</v>
      </c>
      <c r="U33" s="10">
        <f t="shared" si="17"/>
        <v>36193.980000000003</v>
      </c>
      <c r="V33" s="10">
        <f t="shared" si="18"/>
        <v>27480568.030000001</v>
      </c>
      <c r="W33" s="10">
        <f t="shared" si="19"/>
        <v>537588.26</v>
      </c>
      <c r="X33" s="10">
        <f t="shared" si="20"/>
        <v>16868383.380000003</v>
      </c>
      <c r="Y33" s="12">
        <f t="shared" si="21"/>
        <v>48787505.25</v>
      </c>
      <c r="Z33" s="9">
        <v>3711620.2124999999</v>
      </c>
      <c r="AA33" s="9">
        <v>192410.25875000004</v>
      </c>
      <c r="AB33" s="9">
        <v>7218176.4637500001</v>
      </c>
      <c r="AC33" s="9">
        <v>95482.96875</v>
      </c>
      <c r="AD33" s="9"/>
      <c r="AE33" s="13">
        <f t="shared" si="22"/>
        <v>11217689.903750001</v>
      </c>
      <c r="AF33" s="14">
        <f t="shared" si="23"/>
        <v>2944125.5562499911</v>
      </c>
      <c r="AG33" s="14">
        <f t="shared" si="24"/>
        <v>11217689.903750002</v>
      </c>
      <c r="AH33" s="15">
        <f t="shared" si="25"/>
        <v>0.26245381905821702</v>
      </c>
      <c r="AI33" s="17">
        <f t="shared" si="13"/>
        <v>-19491254.251250014</v>
      </c>
      <c r="AJ33" s="11">
        <f t="shared" si="14"/>
        <v>2</v>
      </c>
      <c r="AK33" s="1">
        <v>8</v>
      </c>
      <c r="AL33" t="s">
        <v>28</v>
      </c>
    </row>
    <row r="34" spans="1:38">
      <c r="A34" s="1">
        <v>8</v>
      </c>
      <c r="B34" t="s">
        <v>28</v>
      </c>
      <c r="C34" s="1" t="s">
        <v>39</v>
      </c>
      <c r="D34" t="s">
        <v>40</v>
      </c>
      <c r="E34" t="s">
        <v>3</v>
      </c>
      <c r="F34" s="2">
        <v>52744436.409999996</v>
      </c>
      <c r="G34" s="2">
        <v>16432502.220000001</v>
      </c>
      <c r="H34" s="2">
        <v>3.21</v>
      </c>
      <c r="I34" s="2">
        <v>1225338</v>
      </c>
      <c r="J34" s="2">
        <v>235736.84</v>
      </c>
      <c r="K34" s="2">
        <v>8938639.6600000001</v>
      </c>
      <c r="L34" s="2">
        <v>2660817.8800000004</v>
      </c>
      <c r="M34" s="2">
        <v>3371969.84</v>
      </c>
      <c r="N34" s="4">
        <f t="shared" si="15"/>
        <v>16432502.220000001</v>
      </c>
      <c r="O34" s="7">
        <v>24</v>
      </c>
      <c r="P34" s="7">
        <v>32</v>
      </c>
      <c r="Q34" s="7">
        <v>109</v>
      </c>
      <c r="R34" s="6">
        <v>227</v>
      </c>
      <c r="S34" s="16">
        <v>11643802.938750001</v>
      </c>
      <c r="T34" s="10">
        <f t="shared" si="16"/>
        <v>1225338</v>
      </c>
      <c r="U34" s="10">
        <f t="shared" si="17"/>
        <v>235736.84</v>
      </c>
      <c r="V34" s="10">
        <f t="shared" si="18"/>
        <v>8938639.6600000001</v>
      </c>
      <c r="W34" s="10">
        <f t="shared" si="19"/>
        <v>2660817.8800000004</v>
      </c>
      <c r="X34" s="10">
        <f t="shared" si="20"/>
        <v>3371969.84</v>
      </c>
      <c r="Y34" s="12">
        <f t="shared" si="21"/>
        <v>16432502.220000001</v>
      </c>
      <c r="Z34" s="9">
        <v>1436073.21875</v>
      </c>
      <c r="AA34" s="9">
        <v>210794.29750000002</v>
      </c>
      <c r="AB34" s="9">
        <v>2367268.9049999998</v>
      </c>
      <c r="AC34" s="9">
        <v>252828.67875000002</v>
      </c>
      <c r="AD34" s="9"/>
      <c r="AE34" s="13">
        <f t="shared" si="22"/>
        <v>4266965.0999999996</v>
      </c>
      <c r="AF34" s="14">
        <f t="shared" si="23"/>
        <v>24668131.251249999</v>
      </c>
      <c r="AG34" s="14">
        <f t="shared" si="24"/>
        <v>4266965.0999999996</v>
      </c>
      <c r="AH34" s="15">
        <f t="shared" si="25"/>
        <v>5.7811888949478405</v>
      </c>
      <c r="AI34" s="17">
        <f t="shared" si="13"/>
        <v>16134201.05125</v>
      </c>
      <c r="AJ34" s="11">
        <f t="shared" si="14"/>
        <v>2</v>
      </c>
      <c r="AK34" s="1">
        <v>8</v>
      </c>
      <c r="AL34" t="s">
        <v>28</v>
      </c>
    </row>
    <row r="35" spans="1:38">
      <c r="A35" s="1">
        <v>8</v>
      </c>
      <c r="B35" t="s">
        <v>28</v>
      </c>
      <c r="C35" s="1" t="s">
        <v>41</v>
      </c>
      <c r="D35" t="s">
        <v>42</v>
      </c>
      <c r="E35" t="s">
        <v>3</v>
      </c>
      <c r="F35" s="2">
        <v>46519998.75</v>
      </c>
      <c r="G35" s="2">
        <v>10368054.710000001</v>
      </c>
      <c r="H35" s="2">
        <v>4.49</v>
      </c>
      <c r="I35" s="2">
        <v>1691552.05</v>
      </c>
      <c r="J35" s="2">
        <v>225683.87</v>
      </c>
      <c r="K35" s="2">
        <v>5144882.0100000007</v>
      </c>
      <c r="L35" s="2">
        <v>681938.1</v>
      </c>
      <c r="M35" s="2">
        <v>2623998.6800000002</v>
      </c>
      <c r="N35" s="4">
        <f t="shared" si="15"/>
        <v>10368054.710000001</v>
      </c>
      <c r="O35" s="7">
        <v>30</v>
      </c>
      <c r="P35" s="7">
        <v>34</v>
      </c>
      <c r="Q35" s="7">
        <v>35</v>
      </c>
      <c r="R35" s="6">
        <v>176</v>
      </c>
      <c r="S35" s="16">
        <v>11647711.03875</v>
      </c>
      <c r="T35" s="10">
        <f t="shared" si="16"/>
        <v>1691552.05</v>
      </c>
      <c r="U35" s="10">
        <f t="shared" si="17"/>
        <v>225683.87</v>
      </c>
      <c r="V35" s="10">
        <f t="shared" si="18"/>
        <v>5144882.0100000007</v>
      </c>
      <c r="W35" s="10">
        <f t="shared" si="19"/>
        <v>681938.1</v>
      </c>
      <c r="X35" s="10">
        <f t="shared" si="20"/>
        <v>2623998.6800000002</v>
      </c>
      <c r="Y35" s="12">
        <f t="shared" si="21"/>
        <v>10368054.710000001</v>
      </c>
      <c r="Z35" s="9">
        <v>1654156.67875</v>
      </c>
      <c r="AA35" s="9">
        <v>184125.37125000003</v>
      </c>
      <c r="AB35" s="9">
        <v>3604053.8537500002</v>
      </c>
      <c r="AC35" s="9">
        <v>97383.731249999997</v>
      </c>
      <c r="AD35" s="9"/>
      <c r="AE35" s="13">
        <f t="shared" si="22"/>
        <v>5539719.6350000007</v>
      </c>
      <c r="AF35" s="14">
        <f t="shared" si="23"/>
        <v>24504233.001249999</v>
      </c>
      <c r="AG35" s="14">
        <f t="shared" si="24"/>
        <v>5539719.6350000016</v>
      </c>
      <c r="AH35" s="15">
        <f t="shared" si="25"/>
        <v>4.4233706064169782</v>
      </c>
      <c r="AI35" s="17">
        <f t="shared" si="13"/>
        <v>13424793.731249996</v>
      </c>
      <c r="AJ35" s="11">
        <f t="shared" si="14"/>
        <v>2</v>
      </c>
      <c r="AK35" s="1">
        <v>8</v>
      </c>
      <c r="AL35" t="s">
        <v>28</v>
      </c>
    </row>
    <row r="36" spans="1:38">
      <c r="A36" s="1">
        <v>8</v>
      </c>
      <c r="B36" t="s">
        <v>28</v>
      </c>
      <c r="C36" s="1" t="s">
        <v>43</v>
      </c>
      <c r="D36" t="s">
        <v>44</v>
      </c>
      <c r="E36" t="s">
        <v>3</v>
      </c>
      <c r="F36" s="2">
        <v>68050649.790000007</v>
      </c>
      <c r="G36" s="2">
        <v>19503563.41</v>
      </c>
      <c r="H36" s="2">
        <v>3.49</v>
      </c>
      <c r="I36" s="2">
        <v>1645803</v>
      </c>
      <c r="J36" s="2">
        <v>204557.05</v>
      </c>
      <c r="K36" s="2">
        <v>7349006.8999999994</v>
      </c>
      <c r="L36" s="2">
        <v>2527553.1100000003</v>
      </c>
      <c r="M36" s="2">
        <v>7776643.3500000006</v>
      </c>
      <c r="N36" s="4">
        <f t="shared" si="15"/>
        <v>19503563.41</v>
      </c>
      <c r="O36" s="7">
        <v>29</v>
      </c>
      <c r="P36" s="7">
        <v>33</v>
      </c>
      <c r="Q36" s="7">
        <v>109</v>
      </c>
      <c r="R36" s="6">
        <v>209</v>
      </c>
      <c r="S36" s="16">
        <v>10562476.953749999</v>
      </c>
      <c r="T36" s="10">
        <f t="shared" si="16"/>
        <v>1645803</v>
      </c>
      <c r="U36" s="10">
        <f t="shared" si="17"/>
        <v>204557.05</v>
      </c>
      <c r="V36" s="10">
        <f t="shared" si="18"/>
        <v>7349006.8999999994</v>
      </c>
      <c r="W36" s="10">
        <f t="shared" si="19"/>
        <v>2527553.1100000003</v>
      </c>
      <c r="X36" s="10">
        <f t="shared" si="20"/>
        <v>7776643.3500000006</v>
      </c>
      <c r="Y36" s="12">
        <f t="shared" si="21"/>
        <v>19503563.41</v>
      </c>
      <c r="Z36" s="9">
        <v>1324321.4450000001</v>
      </c>
      <c r="AA36" s="9">
        <v>176211.65624999997</v>
      </c>
      <c r="AB36" s="9">
        <v>2414936.2862499999</v>
      </c>
      <c r="AC36" s="9">
        <v>366893.88125000003</v>
      </c>
      <c r="AD36" s="9"/>
      <c r="AE36" s="13">
        <f t="shared" si="22"/>
        <v>4282363.2687499998</v>
      </c>
      <c r="AF36" s="14">
        <f t="shared" si="23"/>
        <v>37984609.426250011</v>
      </c>
      <c r="AG36" s="14">
        <f t="shared" si="24"/>
        <v>4282363.2687500007</v>
      </c>
      <c r="AH36" s="15">
        <f t="shared" si="25"/>
        <v>8.8700110295261148</v>
      </c>
      <c r="AI36" s="17">
        <f t="shared" si="13"/>
        <v>29419882.888750009</v>
      </c>
      <c r="AJ36" s="11">
        <f t="shared" si="14"/>
        <v>2</v>
      </c>
      <c r="AK36" s="1">
        <v>8</v>
      </c>
      <c r="AL36" t="s">
        <v>28</v>
      </c>
    </row>
    <row r="37" spans="1:38">
      <c r="A37" s="1">
        <v>8</v>
      </c>
      <c r="B37" t="s">
        <v>28</v>
      </c>
      <c r="C37" s="1" t="s">
        <v>46</v>
      </c>
      <c r="D37" t="s">
        <v>47</v>
      </c>
      <c r="E37" t="s">
        <v>3</v>
      </c>
      <c r="F37" s="2">
        <v>26008707.32</v>
      </c>
      <c r="G37" s="2">
        <v>14836732.890000001</v>
      </c>
      <c r="H37" s="2">
        <v>1.75</v>
      </c>
      <c r="I37" s="2">
        <v>2228800</v>
      </c>
      <c r="J37" s="2">
        <v>212272.14</v>
      </c>
      <c r="K37" s="2">
        <v>9168868.2400000002</v>
      </c>
      <c r="L37" s="2">
        <v>1070219.1000000001</v>
      </c>
      <c r="M37" s="2">
        <v>2156573.41</v>
      </c>
      <c r="N37" s="4">
        <f t="shared" si="15"/>
        <v>14836732.890000001</v>
      </c>
      <c r="O37" s="7">
        <v>46</v>
      </c>
      <c r="P37" s="7">
        <v>65</v>
      </c>
      <c r="Q37" s="7">
        <v>261</v>
      </c>
      <c r="R37" s="6">
        <v>381</v>
      </c>
      <c r="S37" s="16">
        <v>6269501.8049999997</v>
      </c>
      <c r="T37" s="10">
        <f t="shared" si="16"/>
        <v>2228800</v>
      </c>
      <c r="U37" s="10">
        <f t="shared" si="17"/>
        <v>212272.14</v>
      </c>
      <c r="V37" s="10">
        <f t="shared" si="18"/>
        <v>9168868.2400000002</v>
      </c>
      <c r="W37" s="10">
        <f t="shared" si="19"/>
        <v>1070219.1000000001</v>
      </c>
      <c r="X37" s="10">
        <f t="shared" si="20"/>
        <v>2156573.41</v>
      </c>
      <c r="Y37" s="12">
        <f t="shared" si="21"/>
        <v>14836732.890000001</v>
      </c>
      <c r="Z37" s="9">
        <v>955570.5575</v>
      </c>
      <c r="AA37" s="9">
        <v>95300.654999999999</v>
      </c>
      <c r="AB37" s="9">
        <v>1224960.86375</v>
      </c>
      <c r="AC37" s="9">
        <v>92714.559999999998</v>
      </c>
      <c r="AD37" s="9"/>
      <c r="AE37" s="13">
        <f t="shared" si="22"/>
        <v>2368546.63625</v>
      </c>
      <c r="AF37" s="14">
        <f t="shared" si="23"/>
        <v>4902472.625</v>
      </c>
      <c r="AG37" s="14">
        <f t="shared" si="24"/>
        <v>2368546.6362500004</v>
      </c>
      <c r="AH37" s="15">
        <f t="shared" si="25"/>
        <v>2.0698231354067134</v>
      </c>
      <c r="AI37" s="17">
        <f t="shared" si="13"/>
        <v>165379.35249999925</v>
      </c>
      <c r="AJ37" s="11">
        <f t="shared" si="14"/>
        <v>2</v>
      </c>
      <c r="AK37" s="1">
        <v>8</v>
      </c>
      <c r="AL37" t="s">
        <v>28</v>
      </c>
    </row>
    <row r="38" spans="1:38">
      <c r="A38" s="1">
        <v>8</v>
      </c>
      <c r="B38" t="s">
        <v>74</v>
      </c>
      <c r="C38" s="1" t="s">
        <v>77</v>
      </c>
      <c r="D38" t="s">
        <v>78</v>
      </c>
      <c r="E38" t="s">
        <v>2</v>
      </c>
      <c r="F38" s="2">
        <v>211639853.75</v>
      </c>
      <c r="G38" s="2">
        <v>363214701.50999999</v>
      </c>
      <c r="H38" s="2">
        <v>0.57999999999999996</v>
      </c>
      <c r="I38" s="2">
        <v>23347128.350000001</v>
      </c>
      <c r="J38" s="2">
        <v>8657419.5800000001</v>
      </c>
      <c r="K38" s="2">
        <v>297164885.87000006</v>
      </c>
      <c r="L38" s="2">
        <v>520725.5</v>
      </c>
      <c r="M38" s="2">
        <v>33524542.210000001</v>
      </c>
      <c r="N38" s="4">
        <f t="shared" si="15"/>
        <v>363214701.51000005</v>
      </c>
      <c r="O38" s="7">
        <v>37</v>
      </c>
      <c r="P38" s="7">
        <v>81</v>
      </c>
      <c r="Q38" s="7">
        <v>119</v>
      </c>
      <c r="R38" s="6">
        <v>15</v>
      </c>
      <c r="S38" s="16">
        <v>187528858.57124999</v>
      </c>
      <c r="T38" s="10">
        <f t="shared" si="16"/>
        <v>23347128.350000001</v>
      </c>
      <c r="U38" s="10">
        <f t="shared" si="17"/>
        <v>8657419.5800000001</v>
      </c>
      <c r="V38" s="10">
        <f t="shared" si="18"/>
        <v>297164885.87000006</v>
      </c>
      <c r="W38" s="10">
        <f t="shared" si="19"/>
        <v>520725.5</v>
      </c>
      <c r="X38" s="10">
        <f t="shared" si="20"/>
        <v>33524542.210000001</v>
      </c>
      <c r="Y38" s="12">
        <f t="shared" si="21"/>
        <v>363214701.51000005</v>
      </c>
      <c r="Z38" s="9">
        <v>19406956.46875</v>
      </c>
      <c r="AA38" s="9">
        <v>4116369.1849999996</v>
      </c>
      <c r="AB38" s="9">
        <v>100378484.64625001</v>
      </c>
      <c r="AC38" s="9">
        <v>632350.42999999993</v>
      </c>
      <c r="AD38" s="9"/>
      <c r="AE38" s="13">
        <f t="shared" si="22"/>
        <v>124534160.73000002</v>
      </c>
      <c r="AF38" s="14">
        <f t="shared" si="23"/>
        <v>-339103706.33125007</v>
      </c>
      <c r="AG38" s="14">
        <f t="shared" si="24"/>
        <v>124534160.72999996</v>
      </c>
      <c r="AH38" s="15">
        <f t="shared" si="25"/>
        <v>-2.7229774091179215</v>
      </c>
      <c r="AI38" s="17">
        <f t="shared" si="13"/>
        <v>-588172027.79125011</v>
      </c>
      <c r="AJ38" s="11">
        <f t="shared" si="14"/>
        <v>2.0000000000000009</v>
      </c>
      <c r="AK38" s="1">
        <v>8</v>
      </c>
      <c r="AL38" t="s">
        <v>74</v>
      </c>
    </row>
    <row r="39" spans="1:38">
      <c r="A39" s="1">
        <v>8</v>
      </c>
      <c r="B39" t="s">
        <v>74</v>
      </c>
      <c r="C39" s="1" t="s">
        <v>79</v>
      </c>
      <c r="D39" t="s">
        <v>80</v>
      </c>
      <c r="E39" t="s">
        <v>3</v>
      </c>
      <c r="F39" s="2">
        <v>71327095.469999999</v>
      </c>
      <c r="G39" s="2">
        <v>15504378.07</v>
      </c>
      <c r="H39" s="2">
        <v>4.5999999999999996</v>
      </c>
      <c r="I39" s="2">
        <v>1839340</v>
      </c>
      <c r="J39" s="2">
        <v>245262.92</v>
      </c>
      <c r="K39" s="2">
        <v>11450925.9</v>
      </c>
      <c r="L39" s="2">
        <v>0</v>
      </c>
      <c r="M39" s="2">
        <v>1968849.25</v>
      </c>
      <c r="N39" s="4">
        <f t="shared" si="15"/>
        <v>15504378.07</v>
      </c>
      <c r="O39" s="7">
        <v>42</v>
      </c>
      <c r="P39" s="7">
        <v>63</v>
      </c>
      <c r="Q39" s="7">
        <v>126</v>
      </c>
      <c r="R39" s="6">
        <v>41</v>
      </c>
      <c r="S39" s="16">
        <v>9113441.8762500007</v>
      </c>
      <c r="T39" s="10">
        <f t="shared" si="16"/>
        <v>1839340</v>
      </c>
      <c r="U39" s="10">
        <f t="shared" si="17"/>
        <v>245262.92</v>
      </c>
      <c r="V39" s="10">
        <f t="shared" si="18"/>
        <v>11450925.9</v>
      </c>
      <c r="W39" s="10">
        <f t="shared" si="19"/>
        <v>0</v>
      </c>
      <c r="X39" s="10">
        <f t="shared" si="20"/>
        <v>1968849.25</v>
      </c>
      <c r="Y39" s="12">
        <f t="shared" si="21"/>
        <v>15504378.07</v>
      </c>
      <c r="Z39" s="9">
        <v>1350565.78125</v>
      </c>
      <c r="AA39" s="9">
        <v>196328.845</v>
      </c>
      <c r="AB39" s="9">
        <v>2991456.0437500002</v>
      </c>
      <c r="AC39" s="9">
        <v>4817.3</v>
      </c>
      <c r="AD39" s="9"/>
      <c r="AE39" s="13">
        <f t="shared" si="22"/>
        <v>4543167.97</v>
      </c>
      <c r="AF39" s="14">
        <f t="shared" si="23"/>
        <v>46709275.52375</v>
      </c>
      <c r="AG39" s="14">
        <f t="shared" si="24"/>
        <v>4543167.9699999988</v>
      </c>
      <c r="AH39" s="15">
        <f t="shared" si="25"/>
        <v>10.28121254423926</v>
      </c>
      <c r="AI39" s="17">
        <f t="shared" si="13"/>
        <v>37622939.583750002</v>
      </c>
      <c r="AJ39" s="11">
        <f t="shared" si="14"/>
        <v>2</v>
      </c>
      <c r="AK39" s="1">
        <v>8</v>
      </c>
      <c r="AL39" t="s">
        <v>74</v>
      </c>
    </row>
    <row r="40" spans="1:38">
      <c r="A40" s="1">
        <v>8</v>
      </c>
      <c r="B40" t="s">
        <v>74</v>
      </c>
      <c r="C40" s="1" t="s">
        <v>81</v>
      </c>
      <c r="D40" t="s">
        <v>82</v>
      </c>
      <c r="E40" t="s">
        <v>3</v>
      </c>
      <c r="F40" s="2">
        <v>45821732.390000001</v>
      </c>
      <c r="G40" s="2">
        <v>20239849.23</v>
      </c>
      <c r="H40" s="2">
        <v>2.2599999999999998</v>
      </c>
      <c r="I40" s="2">
        <v>793200</v>
      </c>
      <c r="J40" s="2">
        <v>176720.78</v>
      </c>
      <c r="K40" s="2">
        <v>15077893.489999998</v>
      </c>
      <c r="L40" s="2">
        <v>750</v>
      </c>
      <c r="M40" s="2">
        <v>4191284.96</v>
      </c>
      <c r="N40" s="4">
        <f t="shared" si="15"/>
        <v>20239849.229999997</v>
      </c>
      <c r="O40" s="7">
        <v>24</v>
      </c>
      <c r="P40" s="7">
        <v>87</v>
      </c>
      <c r="Q40" s="7">
        <v>347</v>
      </c>
      <c r="R40" s="6">
        <v>862</v>
      </c>
      <c r="S40" s="16">
        <v>7179339.6299999999</v>
      </c>
      <c r="T40" s="10">
        <f t="shared" si="16"/>
        <v>793200</v>
      </c>
      <c r="U40" s="10">
        <f t="shared" si="17"/>
        <v>176720.78</v>
      </c>
      <c r="V40" s="10">
        <f t="shared" si="18"/>
        <v>15077893.489999998</v>
      </c>
      <c r="W40" s="10">
        <f t="shared" si="19"/>
        <v>750</v>
      </c>
      <c r="X40" s="10">
        <f t="shared" si="20"/>
        <v>4191284.96</v>
      </c>
      <c r="Y40" s="12">
        <f t="shared" si="21"/>
        <v>20239849.229999997</v>
      </c>
      <c r="Z40" s="9">
        <v>1124020.8125</v>
      </c>
      <c r="AA40" s="9">
        <v>146784.56749999998</v>
      </c>
      <c r="AB40" s="9">
        <v>1398111.1412500001</v>
      </c>
      <c r="AC40" s="9">
        <v>186.25</v>
      </c>
      <c r="AD40" s="9"/>
      <c r="AE40" s="13">
        <f t="shared" si="22"/>
        <v>2669102.7712500002</v>
      </c>
      <c r="AF40" s="14">
        <f t="shared" si="23"/>
        <v>18402543.530000001</v>
      </c>
      <c r="AG40" s="14">
        <f t="shared" si="24"/>
        <v>2669102.7712500021</v>
      </c>
      <c r="AH40" s="15">
        <f t="shared" si="25"/>
        <v>6.8946552857467038</v>
      </c>
      <c r="AI40" s="17">
        <f t="shared" si="13"/>
        <v>13064337.987499999</v>
      </c>
      <c r="AJ40" s="11">
        <f t="shared" si="14"/>
        <v>1.9999999999999993</v>
      </c>
      <c r="AK40" s="1">
        <v>8</v>
      </c>
      <c r="AL40" t="s">
        <v>74</v>
      </c>
    </row>
    <row r="41" spans="1:38">
      <c r="A41" s="1">
        <v>8</v>
      </c>
      <c r="B41" t="s">
        <v>74</v>
      </c>
      <c r="C41" s="1" t="s">
        <v>83</v>
      </c>
      <c r="D41" t="s">
        <v>84</v>
      </c>
      <c r="E41" t="s">
        <v>3</v>
      </c>
      <c r="F41" s="2">
        <v>43654382.609999999</v>
      </c>
      <c r="G41" s="2">
        <v>42793233.539999999</v>
      </c>
      <c r="H41" s="2">
        <v>1.02</v>
      </c>
      <c r="I41" s="2">
        <v>1837243</v>
      </c>
      <c r="J41" s="2">
        <v>770101.95</v>
      </c>
      <c r="K41" s="2">
        <v>31639806.950000003</v>
      </c>
      <c r="L41" s="2">
        <v>112085.75</v>
      </c>
      <c r="M41" s="2">
        <v>8433995.8900000006</v>
      </c>
      <c r="N41" s="4">
        <f t="shared" si="15"/>
        <v>42793233.540000007</v>
      </c>
      <c r="O41" s="7">
        <v>39</v>
      </c>
      <c r="P41" s="7">
        <v>75</v>
      </c>
      <c r="Q41" s="7">
        <v>278</v>
      </c>
      <c r="R41" s="6">
        <v>7</v>
      </c>
      <c r="S41" s="16">
        <v>15633187.72875</v>
      </c>
      <c r="T41" s="10">
        <f t="shared" si="16"/>
        <v>1837243</v>
      </c>
      <c r="U41" s="10">
        <f t="shared" si="17"/>
        <v>770101.95</v>
      </c>
      <c r="V41" s="10">
        <f t="shared" si="18"/>
        <v>31639806.950000003</v>
      </c>
      <c r="W41" s="10">
        <f t="shared" si="19"/>
        <v>112085.75</v>
      </c>
      <c r="X41" s="10">
        <f t="shared" si="20"/>
        <v>8433995.8900000006</v>
      </c>
      <c r="Y41" s="12">
        <f t="shared" si="21"/>
        <v>42793233.540000007</v>
      </c>
      <c r="Z41" s="9">
        <v>1713591.5625</v>
      </c>
      <c r="AA41" s="9">
        <v>348085.22375</v>
      </c>
      <c r="AB41" s="9">
        <v>5052291.2175000003</v>
      </c>
      <c r="AC41" s="9">
        <v>440781.28125</v>
      </c>
      <c r="AD41" s="9"/>
      <c r="AE41" s="13">
        <f t="shared" si="22"/>
        <v>7554749.2850000001</v>
      </c>
      <c r="AF41" s="14">
        <f t="shared" si="23"/>
        <v>-14772038.658750005</v>
      </c>
      <c r="AG41" s="14">
        <f t="shared" si="24"/>
        <v>7554749.2849999964</v>
      </c>
      <c r="AH41" s="15">
        <f t="shared" si="25"/>
        <v>-1.9553314215310869</v>
      </c>
      <c r="AI41" s="17">
        <f t="shared" si="13"/>
        <v>-29881537.228749998</v>
      </c>
      <c r="AJ41" s="11">
        <f t="shared" si="14"/>
        <v>2</v>
      </c>
      <c r="AK41" s="1">
        <v>8</v>
      </c>
      <c r="AL41" t="s">
        <v>74</v>
      </c>
    </row>
    <row r="42" spans="1:38">
      <c r="A42" s="1">
        <v>8</v>
      </c>
      <c r="B42" t="s">
        <v>74</v>
      </c>
      <c r="C42" s="1" t="s">
        <v>85</v>
      </c>
      <c r="D42" t="s">
        <v>86</v>
      </c>
      <c r="E42" t="s">
        <v>3</v>
      </c>
      <c r="F42" s="2">
        <v>43430119.950000003</v>
      </c>
      <c r="G42" s="2">
        <v>39018309.840000004</v>
      </c>
      <c r="H42" s="2">
        <v>1.1100000000000001</v>
      </c>
      <c r="I42" s="2">
        <v>6721727</v>
      </c>
      <c r="J42" s="2">
        <v>400314.44</v>
      </c>
      <c r="K42" s="2">
        <v>24776096.009999998</v>
      </c>
      <c r="L42" s="2">
        <v>980</v>
      </c>
      <c r="M42" s="2">
        <v>7119192.3900000006</v>
      </c>
      <c r="N42" s="4">
        <f t="shared" si="15"/>
        <v>39018309.840000004</v>
      </c>
      <c r="O42" s="7">
        <v>68</v>
      </c>
      <c r="P42" s="7">
        <v>67</v>
      </c>
      <c r="Q42" s="7">
        <v>170</v>
      </c>
      <c r="R42" s="6">
        <v>0</v>
      </c>
      <c r="S42" s="16">
        <v>14975004.524999999</v>
      </c>
      <c r="T42" s="10">
        <f t="shared" si="16"/>
        <v>6721727</v>
      </c>
      <c r="U42" s="10">
        <f t="shared" si="17"/>
        <v>400314.44</v>
      </c>
      <c r="V42" s="10">
        <f t="shared" si="18"/>
        <v>24776096.009999998</v>
      </c>
      <c r="W42" s="10">
        <f t="shared" si="19"/>
        <v>980</v>
      </c>
      <c r="X42" s="10">
        <f t="shared" si="20"/>
        <v>7119192.3900000006</v>
      </c>
      <c r="Y42" s="12">
        <f t="shared" si="21"/>
        <v>39018309.840000004</v>
      </c>
      <c r="Z42" s="9">
        <v>2391648.1875</v>
      </c>
      <c r="AA42" s="9">
        <v>333620.80125000002</v>
      </c>
      <c r="AB42" s="9">
        <v>3809861.3174999999</v>
      </c>
      <c r="AC42" s="9">
        <v>0</v>
      </c>
      <c r="AD42" s="9"/>
      <c r="AE42" s="13">
        <f t="shared" si="22"/>
        <v>6535130.3062500004</v>
      </c>
      <c r="AF42" s="14">
        <f t="shared" si="23"/>
        <v>-10563194.414999999</v>
      </c>
      <c r="AG42" s="14">
        <f t="shared" si="24"/>
        <v>6535130.3062499985</v>
      </c>
      <c r="AH42" s="15">
        <f t="shared" si="25"/>
        <v>-1.61637089392046</v>
      </c>
      <c r="AI42" s="17">
        <f t="shared" si="13"/>
        <v>-23633455.027499996</v>
      </c>
      <c r="AJ42" s="11">
        <f t="shared" si="14"/>
        <v>2</v>
      </c>
      <c r="AK42" s="1">
        <v>8</v>
      </c>
      <c r="AL42" t="s">
        <v>74</v>
      </c>
    </row>
    <row r="43" spans="1:38">
      <c r="A43" s="1">
        <v>8</v>
      </c>
      <c r="B43" t="s">
        <v>74</v>
      </c>
      <c r="C43" s="1" t="s">
        <v>87</v>
      </c>
      <c r="D43" t="s">
        <v>88</v>
      </c>
      <c r="E43" t="s">
        <v>3</v>
      </c>
      <c r="F43" s="2">
        <v>34637602.479999997</v>
      </c>
      <c r="G43" s="2">
        <v>18942935.460000001</v>
      </c>
      <c r="H43" s="2">
        <v>1.83</v>
      </c>
      <c r="I43" s="2">
        <v>3066987.5</v>
      </c>
      <c r="J43" s="2">
        <v>285064.34999999998</v>
      </c>
      <c r="K43" s="2">
        <v>8372150.8900000006</v>
      </c>
      <c r="L43" s="2">
        <v>300</v>
      </c>
      <c r="M43" s="2">
        <v>7218432.7199999997</v>
      </c>
      <c r="N43" s="4">
        <f t="shared" si="15"/>
        <v>18942935.460000001</v>
      </c>
      <c r="O43" s="7">
        <v>48</v>
      </c>
      <c r="P43" s="7">
        <v>34</v>
      </c>
      <c r="Q43" s="7">
        <v>75</v>
      </c>
      <c r="R43" s="6">
        <v>0</v>
      </c>
      <c r="S43" s="16">
        <v>11429835.397500001</v>
      </c>
      <c r="T43" s="10">
        <f t="shared" si="16"/>
        <v>3066987.5</v>
      </c>
      <c r="U43" s="10">
        <f t="shared" si="17"/>
        <v>285064.34999999998</v>
      </c>
      <c r="V43" s="10">
        <f t="shared" si="18"/>
        <v>8372150.8900000006</v>
      </c>
      <c r="W43" s="10">
        <f t="shared" si="19"/>
        <v>300</v>
      </c>
      <c r="X43" s="10">
        <f t="shared" si="20"/>
        <v>7218432.7199999997</v>
      </c>
      <c r="Y43" s="12">
        <f t="shared" si="21"/>
        <v>18942935.460000001</v>
      </c>
      <c r="Z43" s="9">
        <v>1396249.5</v>
      </c>
      <c r="AA43" s="9">
        <v>228815.46250000002</v>
      </c>
      <c r="AB43" s="9">
        <v>2822558.2262499998</v>
      </c>
      <c r="AC43" s="9">
        <v>109146.875</v>
      </c>
      <c r="AD43" s="9"/>
      <c r="AE43" s="13">
        <f t="shared" si="22"/>
        <v>4556770.0637499997</v>
      </c>
      <c r="AF43" s="14">
        <f t="shared" si="23"/>
        <v>4264831.6224999949</v>
      </c>
      <c r="AG43" s="14">
        <f t="shared" si="24"/>
        <v>4556770.0637499988</v>
      </c>
      <c r="AH43" s="15">
        <f t="shared" si="25"/>
        <v>0.93593303213334555</v>
      </c>
      <c r="AI43" s="17">
        <f t="shared" si="13"/>
        <v>-4848708.5050000027</v>
      </c>
      <c r="AJ43" s="11">
        <f t="shared" si="14"/>
        <v>2</v>
      </c>
      <c r="AK43" s="1">
        <v>8</v>
      </c>
      <c r="AL43" t="s">
        <v>74</v>
      </c>
    </row>
    <row r="44" spans="1:38">
      <c r="A44" s="1">
        <v>8</v>
      </c>
      <c r="B44" t="s">
        <v>74</v>
      </c>
      <c r="C44" s="1" t="s">
        <v>89</v>
      </c>
      <c r="D44" t="s">
        <v>90</v>
      </c>
      <c r="E44" t="s">
        <v>3</v>
      </c>
      <c r="F44" s="2">
        <v>23933238.079999998</v>
      </c>
      <c r="G44" s="2">
        <v>12080625.380000001</v>
      </c>
      <c r="H44" s="2">
        <v>1.98</v>
      </c>
      <c r="I44" s="2">
        <v>2248580</v>
      </c>
      <c r="J44" s="2">
        <v>110993.37</v>
      </c>
      <c r="K44" s="2">
        <v>6956007.8700000001</v>
      </c>
      <c r="L44" s="2">
        <v>635635.36</v>
      </c>
      <c r="M44" s="2">
        <v>2129408.7800000003</v>
      </c>
      <c r="N44" s="4">
        <f t="shared" si="15"/>
        <v>12080625.379999999</v>
      </c>
      <c r="O44" s="7">
        <v>70</v>
      </c>
      <c r="P44" s="7">
        <v>66</v>
      </c>
      <c r="Q44" s="7">
        <v>272</v>
      </c>
      <c r="R44" s="6">
        <v>0</v>
      </c>
      <c r="S44" s="16">
        <v>5270138.5762499999</v>
      </c>
      <c r="T44" s="10">
        <f t="shared" si="16"/>
        <v>2248580</v>
      </c>
      <c r="U44" s="10">
        <f t="shared" si="17"/>
        <v>110993.37</v>
      </c>
      <c r="V44" s="10">
        <f t="shared" si="18"/>
        <v>6956007.8700000001</v>
      </c>
      <c r="W44" s="10">
        <f t="shared" si="19"/>
        <v>635635.36</v>
      </c>
      <c r="X44" s="10">
        <f t="shared" si="20"/>
        <v>2129408.7800000003</v>
      </c>
      <c r="Y44" s="12">
        <f t="shared" si="21"/>
        <v>12080625.379999999</v>
      </c>
      <c r="Z44" s="9">
        <v>763456.875</v>
      </c>
      <c r="AA44" s="9">
        <v>85086.58</v>
      </c>
      <c r="AB44" s="9">
        <v>815693.51874999993</v>
      </c>
      <c r="AC44" s="9">
        <v>0</v>
      </c>
      <c r="AD44" s="9"/>
      <c r="AE44" s="13">
        <f t="shared" si="22"/>
        <v>1664236.9737499999</v>
      </c>
      <c r="AF44" s="14">
        <f t="shared" si="23"/>
        <v>6582474.1237499975</v>
      </c>
      <c r="AG44" s="14">
        <f t="shared" si="24"/>
        <v>1664236.9737500027</v>
      </c>
      <c r="AH44" s="15">
        <f t="shared" si="25"/>
        <v>3.9552505007251448</v>
      </c>
      <c r="AI44" s="17">
        <f t="shared" si="13"/>
        <v>3254000.1762499926</v>
      </c>
      <c r="AJ44" s="11">
        <f t="shared" si="14"/>
        <v>1.9999999999999998</v>
      </c>
      <c r="AK44" s="1">
        <v>8</v>
      </c>
      <c r="AL44" t="s">
        <v>74</v>
      </c>
    </row>
    <row r="45" spans="1:38">
      <c r="A45" s="1">
        <v>8</v>
      </c>
      <c r="B45" t="s">
        <v>74</v>
      </c>
      <c r="C45" s="1" t="s">
        <v>91</v>
      </c>
      <c r="D45" t="s">
        <v>92</v>
      </c>
      <c r="E45" t="s">
        <v>4</v>
      </c>
      <c r="F45" s="2">
        <v>122385952.12</v>
      </c>
      <c r="G45" s="2">
        <v>83990822.170000002</v>
      </c>
      <c r="H45" s="2">
        <v>1.46</v>
      </c>
      <c r="I45" s="2">
        <v>4982220</v>
      </c>
      <c r="J45" s="2">
        <v>937037.86</v>
      </c>
      <c r="K45" s="2">
        <v>64444890.07</v>
      </c>
      <c r="L45" s="2">
        <v>0</v>
      </c>
      <c r="M45" s="2">
        <v>13626674.240000002</v>
      </c>
      <c r="N45" s="4">
        <f t="shared" si="15"/>
        <v>83990822.170000017</v>
      </c>
      <c r="O45" s="7">
        <v>30</v>
      </c>
      <c r="P45" s="7">
        <v>36</v>
      </c>
      <c r="Q45" s="7">
        <v>64</v>
      </c>
      <c r="R45" s="6">
        <v>3</v>
      </c>
      <c r="S45" s="16">
        <v>53045171.493749991</v>
      </c>
      <c r="T45" s="10">
        <f t="shared" si="16"/>
        <v>4982220</v>
      </c>
      <c r="U45" s="10">
        <f t="shared" si="17"/>
        <v>937037.86</v>
      </c>
      <c r="V45" s="10">
        <f t="shared" si="18"/>
        <v>64444890.07</v>
      </c>
      <c r="W45" s="10">
        <f t="shared" si="19"/>
        <v>0</v>
      </c>
      <c r="X45" s="10">
        <f t="shared" si="20"/>
        <v>13626674.240000002</v>
      </c>
      <c r="Y45" s="12">
        <f t="shared" si="21"/>
        <v>83990822.170000017</v>
      </c>
      <c r="Z45" s="9">
        <v>4488118.0625</v>
      </c>
      <c r="AA45" s="9">
        <v>747765.56625000003</v>
      </c>
      <c r="AB45" s="9">
        <v>28630998.917500004</v>
      </c>
      <c r="AC45" s="9">
        <v>695710.875</v>
      </c>
      <c r="AD45" s="9"/>
      <c r="AE45" s="13">
        <f t="shared" si="22"/>
        <v>34562593.421250001</v>
      </c>
      <c r="AF45" s="14">
        <f t="shared" si="23"/>
        <v>-14650041.543750003</v>
      </c>
      <c r="AG45" s="14">
        <f t="shared" si="24"/>
        <v>34562593.421249986</v>
      </c>
      <c r="AH45" s="15">
        <f t="shared" si="25"/>
        <v>-0.42386985736848021</v>
      </c>
      <c r="AI45" s="17">
        <f t="shared" si="13"/>
        <v>-83775228.386249974</v>
      </c>
      <c r="AJ45" s="11">
        <f t="shared" si="14"/>
        <v>2</v>
      </c>
      <c r="AK45" s="1">
        <v>8</v>
      </c>
      <c r="AL45" t="s">
        <v>74</v>
      </c>
    </row>
    <row r="46" spans="1:38">
      <c r="A46" s="1">
        <v>8</v>
      </c>
      <c r="B46" t="s">
        <v>74</v>
      </c>
      <c r="C46" s="1" t="s">
        <v>93</v>
      </c>
      <c r="D46" t="s">
        <v>94</v>
      </c>
      <c r="E46" t="s">
        <v>3</v>
      </c>
      <c r="F46" s="2">
        <v>50841781.579999998</v>
      </c>
      <c r="G46" s="2">
        <v>15213856.92</v>
      </c>
      <c r="H46" s="2">
        <v>3.34</v>
      </c>
      <c r="I46" s="2">
        <v>915221.25</v>
      </c>
      <c r="J46" s="2">
        <v>380651</v>
      </c>
      <c r="K46" s="2">
        <v>11884045.860000001</v>
      </c>
      <c r="L46" s="2">
        <v>50832</v>
      </c>
      <c r="M46" s="2">
        <v>1983106.81</v>
      </c>
      <c r="N46" s="4">
        <f t="shared" si="15"/>
        <v>15213856.920000002</v>
      </c>
      <c r="O46" s="7">
        <v>46</v>
      </c>
      <c r="P46" s="7">
        <v>98</v>
      </c>
      <c r="Q46" s="7">
        <v>118</v>
      </c>
      <c r="R46" s="6">
        <v>0</v>
      </c>
      <c r="S46" s="16">
        <v>10126189.5825</v>
      </c>
      <c r="T46" s="10">
        <f t="shared" si="16"/>
        <v>915221.25</v>
      </c>
      <c r="U46" s="10">
        <f t="shared" si="17"/>
        <v>380651</v>
      </c>
      <c r="V46" s="10">
        <f t="shared" si="18"/>
        <v>11884045.860000001</v>
      </c>
      <c r="W46" s="10">
        <f t="shared" si="19"/>
        <v>50832</v>
      </c>
      <c r="X46" s="10">
        <f t="shared" si="20"/>
        <v>1983106.81</v>
      </c>
      <c r="Y46" s="12">
        <f t="shared" si="21"/>
        <v>15213856.920000002</v>
      </c>
      <c r="Z46" s="9">
        <v>941436.34375</v>
      </c>
      <c r="AA46" s="9">
        <v>177582.34375</v>
      </c>
      <c r="AB46" s="9">
        <v>2719476.3912499999</v>
      </c>
      <c r="AC46" s="9">
        <v>0</v>
      </c>
      <c r="AD46" s="9"/>
      <c r="AE46" s="13">
        <f t="shared" si="22"/>
        <v>3838495.0787499999</v>
      </c>
      <c r="AF46" s="14">
        <f t="shared" si="23"/>
        <v>25501735.077500001</v>
      </c>
      <c r="AG46" s="14">
        <f t="shared" si="24"/>
        <v>3838495.0787499994</v>
      </c>
      <c r="AH46" s="15">
        <f t="shared" si="25"/>
        <v>6.6436805451902794</v>
      </c>
      <c r="AI46" s="17">
        <f t="shared" si="13"/>
        <v>17824744.920000002</v>
      </c>
      <c r="AJ46" s="11">
        <f t="shared" si="14"/>
        <v>2</v>
      </c>
      <c r="AK46" s="1">
        <v>8</v>
      </c>
      <c r="AL46" t="s">
        <v>74</v>
      </c>
    </row>
    <row r="47" spans="1:38">
      <c r="A47" s="1">
        <v>8</v>
      </c>
      <c r="B47" t="s">
        <v>74</v>
      </c>
      <c r="C47" s="1" t="s">
        <v>95</v>
      </c>
      <c r="D47" t="s">
        <v>96</v>
      </c>
      <c r="E47" t="s">
        <v>3</v>
      </c>
      <c r="F47" s="2">
        <v>42082113.93</v>
      </c>
      <c r="G47" s="2">
        <v>34808501.409999996</v>
      </c>
      <c r="H47" s="2">
        <v>1.21</v>
      </c>
      <c r="I47" s="2">
        <v>2514305</v>
      </c>
      <c r="J47" s="2">
        <v>532254.27</v>
      </c>
      <c r="K47" s="2">
        <v>24749058.920000002</v>
      </c>
      <c r="L47" s="2">
        <v>198600</v>
      </c>
      <c r="M47" s="2">
        <v>6814283.2199999997</v>
      </c>
      <c r="N47" s="4">
        <f t="shared" si="15"/>
        <v>34808501.410000004</v>
      </c>
      <c r="O47" s="7">
        <v>30</v>
      </c>
      <c r="P47" s="7">
        <v>55</v>
      </c>
      <c r="Q47" s="7">
        <v>126</v>
      </c>
      <c r="R47" s="6">
        <v>0</v>
      </c>
      <c r="S47" s="16">
        <v>19548576.682499997</v>
      </c>
      <c r="T47" s="10">
        <f t="shared" si="16"/>
        <v>2514305</v>
      </c>
      <c r="U47" s="10">
        <f t="shared" si="17"/>
        <v>532254.27</v>
      </c>
      <c r="V47" s="10">
        <f t="shared" si="18"/>
        <v>24749058.920000002</v>
      </c>
      <c r="W47" s="10">
        <f t="shared" si="19"/>
        <v>198600</v>
      </c>
      <c r="X47" s="10">
        <f t="shared" si="20"/>
        <v>6814283.2199999997</v>
      </c>
      <c r="Y47" s="12">
        <f t="shared" si="21"/>
        <v>34808501.410000004</v>
      </c>
      <c r="Z47" s="9">
        <v>2394560.625</v>
      </c>
      <c r="AA47" s="9">
        <v>449730.82124999998</v>
      </c>
      <c r="AB47" s="9">
        <v>6648272.6287500001</v>
      </c>
      <c r="AC47" s="9">
        <v>0</v>
      </c>
      <c r="AD47" s="9"/>
      <c r="AE47" s="13">
        <f t="shared" si="22"/>
        <v>9492564.0749999993</v>
      </c>
      <c r="AF47" s="14">
        <f t="shared" si="23"/>
        <v>-12274964.162500001</v>
      </c>
      <c r="AG47" s="14">
        <f t="shared" si="24"/>
        <v>9492564.0749999955</v>
      </c>
      <c r="AH47" s="15">
        <f t="shared" si="25"/>
        <v>-1.2931136482742158</v>
      </c>
      <c r="AI47" s="17">
        <f t="shared" si="13"/>
        <v>-31260092.312499989</v>
      </c>
      <c r="AJ47" s="11">
        <f t="shared" si="14"/>
        <v>1.9999999999999996</v>
      </c>
      <c r="AK47" s="1">
        <v>8</v>
      </c>
      <c r="AL47" t="s">
        <v>74</v>
      </c>
    </row>
    <row r="48" spans="1:38">
      <c r="A48" s="1">
        <v>8</v>
      </c>
      <c r="B48" t="s">
        <v>74</v>
      </c>
      <c r="C48" s="1" t="s">
        <v>97</v>
      </c>
      <c r="D48" t="s">
        <v>98</v>
      </c>
      <c r="E48" t="s">
        <v>3</v>
      </c>
      <c r="F48" s="2">
        <v>53218073.100000001</v>
      </c>
      <c r="G48" s="2">
        <v>39274924.380000003</v>
      </c>
      <c r="H48" s="2">
        <v>1.36</v>
      </c>
      <c r="I48" s="2">
        <v>3153955</v>
      </c>
      <c r="J48" s="2">
        <v>746129.26</v>
      </c>
      <c r="K48" s="2">
        <v>33238826.610000003</v>
      </c>
      <c r="L48" s="2">
        <v>0</v>
      </c>
      <c r="M48" s="2">
        <v>2136013.5099999998</v>
      </c>
      <c r="N48" s="4">
        <f t="shared" si="15"/>
        <v>39274924.380000003</v>
      </c>
      <c r="O48" s="7">
        <v>54</v>
      </c>
      <c r="P48" s="7">
        <v>97</v>
      </c>
      <c r="Q48" s="7">
        <v>184</v>
      </c>
      <c r="R48" s="6">
        <v>0</v>
      </c>
      <c r="S48" s="16">
        <v>17516514.18</v>
      </c>
      <c r="T48" s="10">
        <f t="shared" si="16"/>
        <v>3153955</v>
      </c>
      <c r="U48" s="10">
        <f t="shared" si="17"/>
        <v>746129.26</v>
      </c>
      <c r="V48" s="10">
        <f t="shared" si="18"/>
        <v>33238826.610000003</v>
      </c>
      <c r="W48" s="10">
        <f t="shared" si="19"/>
        <v>0</v>
      </c>
      <c r="X48" s="10">
        <f t="shared" si="20"/>
        <v>2136013.5099999998</v>
      </c>
      <c r="Y48" s="12">
        <f t="shared" si="21"/>
        <v>39274924.380000003</v>
      </c>
      <c r="Z48" s="9">
        <v>2325494.375</v>
      </c>
      <c r="AA48" s="9">
        <v>335092.89499999996</v>
      </c>
      <c r="AB48" s="9">
        <v>5021860.8562500002</v>
      </c>
      <c r="AC48" s="9">
        <v>298140.03125</v>
      </c>
      <c r="AD48" s="9"/>
      <c r="AE48" s="13">
        <f t="shared" si="22"/>
        <v>7980588.1575000007</v>
      </c>
      <c r="AF48" s="14">
        <f t="shared" si="23"/>
        <v>-3573365.4600000009</v>
      </c>
      <c r="AG48" s="14">
        <f t="shared" si="24"/>
        <v>7980588.1574999988</v>
      </c>
      <c r="AH48" s="15">
        <f t="shared" si="25"/>
        <v>-0.44775715642484604</v>
      </c>
      <c r="AI48" s="17">
        <f t="shared" si="13"/>
        <v>-19534541.774999999</v>
      </c>
      <c r="AJ48" s="11">
        <f t="shared" si="14"/>
        <v>2</v>
      </c>
      <c r="AK48" s="1">
        <v>8</v>
      </c>
      <c r="AL48" t="s">
        <v>74</v>
      </c>
    </row>
    <row r="49" spans="1:38">
      <c r="A49" s="1">
        <v>8</v>
      </c>
      <c r="B49" t="s">
        <v>74</v>
      </c>
      <c r="C49" s="1" t="s">
        <v>99</v>
      </c>
      <c r="D49" t="s">
        <v>100</v>
      </c>
      <c r="E49" t="s">
        <v>3</v>
      </c>
      <c r="F49" s="2">
        <v>39949548.649999999</v>
      </c>
      <c r="G49" s="2">
        <v>12646765.16</v>
      </c>
      <c r="H49" s="2">
        <v>3.16</v>
      </c>
      <c r="I49" s="2">
        <v>3111646</v>
      </c>
      <c r="J49" s="2">
        <v>171652.62</v>
      </c>
      <c r="K49" s="2">
        <v>7024679.459999999</v>
      </c>
      <c r="L49" s="2">
        <v>17581.580000000002</v>
      </c>
      <c r="M49" s="2">
        <v>2321205.5</v>
      </c>
      <c r="N49" s="4">
        <f t="shared" si="15"/>
        <v>12646765.159999998</v>
      </c>
      <c r="O49" s="7">
        <v>80</v>
      </c>
      <c r="P49" s="7">
        <v>74</v>
      </c>
      <c r="Q49" s="7">
        <v>106</v>
      </c>
      <c r="R49" s="6">
        <v>211</v>
      </c>
      <c r="S49" s="16">
        <v>9841858.9274999984</v>
      </c>
      <c r="T49" s="10">
        <f t="shared" si="16"/>
        <v>3111646</v>
      </c>
      <c r="U49" s="10">
        <f t="shared" si="17"/>
        <v>171652.62</v>
      </c>
      <c r="V49" s="10">
        <f t="shared" si="18"/>
        <v>7024679.459999999</v>
      </c>
      <c r="W49" s="10">
        <f t="shared" si="19"/>
        <v>17581.580000000002</v>
      </c>
      <c r="X49" s="10">
        <f t="shared" si="20"/>
        <v>2321205.5</v>
      </c>
      <c r="Y49" s="12">
        <f t="shared" si="21"/>
        <v>12646765.159999998</v>
      </c>
      <c r="Z49" s="9">
        <v>1291646.875</v>
      </c>
      <c r="AA49" s="9">
        <v>140439.95125000001</v>
      </c>
      <c r="AB49" s="9">
        <v>2341913.5799999996</v>
      </c>
      <c r="AC49" s="9">
        <v>7411.8</v>
      </c>
      <c r="AD49" s="9"/>
      <c r="AE49" s="13">
        <f t="shared" si="22"/>
        <v>3781412.2062499993</v>
      </c>
      <c r="AF49" s="14">
        <f t="shared" si="23"/>
        <v>17460924.5625</v>
      </c>
      <c r="AG49" s="14">
        <f t="shared" si="24"/>
        <v>3781412.2062500007</v>
      </c>
      <c r="AH49" s="15">
        <f t="shared" si="25"/>
        <v>4.6175670913740117</v>
      </c>
      <c r="AI49" s="17">
        <f t="shared" si="13"/>
        <v>9898100.1499999985</v>
      </c>
      <c r="AJ49" s="11">
        <f t="shared" si="14"/>
        <v>2</v>
      </c>
      <c r="AK49" s="1">
        <v>8</v>
      </c>
      <c r="AL49" t="s">
        <v>74</v>
      </c>
    </row>
    <row r="50" spans="1:38">
      <c r="A50" s="1">
        <v>8</v>
      </c>
      <c r="B50" t="s">
        <v>74</v>
      </c>
      <c r="C50" s="1" t="s">
        <v>101</v>
      </c>
      <c r="D50" t="s">
        <v>102</v>
      </c>
      <c r="E50" t="s">
        <v>3</v>
      </c>
      <c r="F50" s="2">
        <v>12971048.130000001</v>
      </c>
      <c r="G50" s="2">
        <v>10557416.109999999</v>
      </c>
      <c r="H50" s="2">
        <v>1.23</v>
      </c>
      <c r="I50" s="2">
        <v>1516800</v>
      </c>
      <c r="J50" s="2">
        <v>176802.71</v>
      </c>
      <c r="K50" s="2">
        <v>5648656.1900000004</v>
      </c>
      <c r="L50" s="2">
        <v>327316.43</v>
      </c>
      <c r="M50" s="2">
        <v>2887840.7800000003</v>
      </c>
      <c r="N50" s="4">
        <f t="shared" si="15"/>
        <v>10557416.109999999</v>
      </c>
      <c r="O50" s="7">
        <v>42</v>
      </c>
      <c r="P50" s="7">
        <v>84</v>
      </c>
      <c r="Q50" s="7">
        <v>139</v>
      </c>
      <c r="R50" s="6">
        <v>35</v>
      </c>
      <c r="S50" s="16">
        <v>6008612.9325000001</v>
      </c>
      <c r="T50" s="10">
        <f t="shared" si="16"/>
        <v>1516800</v>
      </c>
      <c r="U50" s="10">
        <f t="shared" si="17"/>
        <v>176802.71</v>
      </c>
      <c r="V50" s="10">
        <f t="shared" si="18"/>
        <v>5648656.1900000004</v>
      </c>
      <c r="W50" s="10">
        <f t="shared" si="19"/>
        <v>327316.43</v>
      </c>
      <c r="X50" s="10">
        <f t="shared" si="20"/>
        <v>2887840.7800000003</v>
      </c>
      <c r="Y50" s="12">
        <f t="shared" si="21"/>
        <v>10557416.109999999</v>
      </c>
      <c r="Z50" s="9">
        <v>1049537.78125</v>
      </c>
      <c r="AA50" s="9">
        <v>128872.36500000001</v>
      </c>
      <c r="AB50" s="9">
        <v>1413621.0912500001</v>
      </c>
      <c r="AC50" s="9">
        <v>167939.78125</v>
      </c>
      <c r="AD50" s="9"/>
      <c r="AE50" s="13">
        <f t="shared" si="22"/>
        <v>2759971.0187499998</v>
      </c>
      <c r="AF50" s="14">
        <f t="shared" si="23"/>
        <v>-3594980.9124999987</v>
      </c>
      <c r="AG50" s="14">
        <f t="shared" si="24"/>
        <v>2759971.0187500007</v>
      </c>
      <c r="AH50" s="15">
        <f t="shared" si="25"/>
        <v>-1.3025429934145383</v>
      </c>
      <c r="AI50" s="17">
        <f t="shared" si="13"/>
        <v>-9114922.9499999993</v>
      </c>
      <c r="AJ50" s="11">
        <f t="shared" si="14"/>
        <v>1.9999999999999996</v>
      </c>
      <c r="AK50" s="1">
        <v>8</v>
      </c>
      <c r="AL50" t="s">
        <v>74</v>
      </c>
    </row>
    <row r="51" spans="1:38">
      <c r="A51" s="1">
        <v>8</v>
      </c>
      <c r="B51" t="s">
        <v>74</v>
      </c>
      <c r="C51" s="1" t="s">
        <v>103</v>
      </c>
      <c r="D51" t="s">
        <v>104</v>
      </c>
      <c r="E51" t="s">
        <v>3</v>
      </c>
      <c r="F51" s="2">
        <v>30703200.34</v>
      </c>
      <c r="G51" s="2">
        <v>19269705.649999999</v>
      </c>
      <c r="H51" s="2">
        <v>1.59</v>
      </c>
      <c r="I51" s="2">
        <v>2295048</v>
      </c>
      <c r="J51" s="2">
        <v>206527.75</v>
      </c>
      <c r="K51" s="2">
        <v>14295202.370000001</v>
      </c>
      <c r="L51" s="2">
        <v>11360.2</v>
      </c>
      <c r="M51" s="2">
        <v>2461567.33</v>
      </c>
      <c r="N51" s="4">
        <f t="shared" si="15"/>
        <v>19269705.649999999</v>
      </c>
      <c r="O51" s="7">
        <v>48</v>
      </c>
      <c r="P51" s="7">
        <v>79</v>
      </c>
      <c r="Q51" s="7">
        <v>204</v>
      </c>
      <c r="R51" s="6">
        <v>3122</v>
      </c>
      <c r="S51" s="16">
        <v>9545273.745000001</v>
      </c>
      <c r="T51" s="10">
        <f t="shared" si="16"/>
        <v>2295048</v>
      </c>
      <c r="U51" s="10">
        <f t="shared" si="17"/>
        <v>206527.75</v>
      </c>
      <c r="V51" s="10">
        <f t="shared" si="18"/>
        <v>14295202.370000001</v>
      </c>
      <c r="W51" s="10">
        <f t="shared" si="19"/>
        <v>11360.2</v>
      </c>
      <c r="X51" s="10">
        <f t="shared" si="20"/>
        <v>2461567.33</v>
      </c>
      <c r="Y51" s="12">
        <f t="shared" si="21"/>
        <v>19269705.649999999</v>
      </c>
      <c r="Z51" s="9">
        <v>1383559.375</v>
      </c>
      <c r="AA51" s="9">
        <v>169558.41500000004</v>
      </c>
      <c r="AB51" s="9">
        <v>2296842.6187499999</v>
      </c>
      <c r="AC51" s="9">
        <v>165.375</v>
      </c>
      <c r="AD51" s="9"/>
      <c r="AE51" s="13">
        <f t="shared" si="22"/>
        <v>3850125.7837499999</v>
      </c>
      <c r="AF51" s="14">
        <f t="shared" si="23"/>
        <v>1888220.9450000003</v>
      </c>
      <c r="AG51" s="14">
        <f t="shared" si="24"/>
        <v>3850125.7837500013</v>
      </c>
      <c r="AH51" s="15">
        <f t="shared" si="25"/>
        <v>0.49043097577993505</v>
      </c>
      <c r="AI51" s="17">
        <f t="shared" si="13"/>
        <v>-5812030.6225000024</v>
      </c>
      <c r="AJ51" s="11">
        <f t="shared" si="14"/>
        <v>2</v>
      </c>
      <c r="AK51" s="1">
        <v>8</v>
      </c>
      <c r="AL51" t="s">
        <v>74</v>
      </c>
    </row>
    <row r="52" spans="1:38">
      <c r="A52" s="1">
        <v>8</v>
      </c>
      <c r="B52" t="s">
        <v>74</v>
      </c>
      <c r="C52" s="1" t="s">
        <v>105</v>
      </c>
      <c r="D52" t="s">
        <v>106</v>
      </c>
      <c r="E52" t="s">
        <v>3</v>
      </c>
      <c r="F52" s="2">
        <v>34190521.039999999</v>
      </c>
      <c r="G52" s="2">
        <v>23968654.02</v>
      </c>
      <c r="H52" s="2">
        <v>1.43</v>
      </c>
      <c r="I52" s="2">
        <v>2073113</v>
      </c>
      <c r="J52" s="2">
        <v>173922.6</v>
      </c>
      <c r="K52" s="2">
        <v>13463898.18</v>
      </c>
      <c r="L52" s="2">
        <v>274</v>
      </c>
      <c r="M52" s="2">
        <v>8257446.2400000002</v>
      </c>
      <c r="N52" s="4">
        <f t="shared" si="15"/>
        <v>23968654.02</v>
      </c>
      <c r="O52" s="7">
        <v>45</v>
      </c>
      <c r="P52" s="7">
        <v>61</v>
      </c>
      <c r="Q52" s="7">
        <v>202</v>
      </c>
      <c r="R52" s="6">
        <v>1529</v>
      </c>
      <c r="S52" s="16">
        <v>8369221.7512500007</v>
      </c>
      <c r="T52" s="10">
        <f t="shared" si="16"/>
        <v>2073113</v>
      </c>
      <c r="U52" s="10">
        <f t="shared" si="17"/>
        <v>173922.6</v>
      </c>
      <c r="V52" s="10">
        <f t="shared" si="18"/>
        <v>13463898.18</v>
      </c>
      <c r="W52" s="10">
        <f t="shared" si="19"/>
        <v>274</v>
      </c>
      <c r="X52" s="10">
        <f t="shared" si="20"/>
        <v>8257446.2400000002</v>
      </c>
      <c r="Y52" s="12">
        <f t="shared" si="21"/>
        <v>23968654.02</v>
      </c>
      <c r="Z52" s="9">
        <v>1126304.25</v>
      </c>
      <c r="AA52" s="9">
        <v>186973.19875000001</v>
      </c>
      <c r="AB52" s="9">
        <v>2511186.605</v>
      </c>
      <c r="AC52" s="9">
        <v>281.875</v>
      </c>
      <c r="AD52" s="9"/>
      <c r="AE52" s="13">
        <f t="shared" si="22"/>
        <v>3824745.92875</v>
      </c>
      <c r="AF52" s="14">
        <f t="shared" si="23"/>
        <v>1852645.2687500007</v>
      </c>
      <c r="AG52" s="14">
        <f t="shared" si="24"/>
        <v>3824745.9287500009</v>
      </c>
      <c r="AH52" s="15">
        <f t="shared" si="25"/>
        <v>0.48438387889348777</v>
      </c>
      <c r="AI52" s="17">
        <f t="shared" si="13"/>
        <v>-5796846.588750001</v>
      </c>
      <c r="AJ52" s="11">
        <f t="shared" si="14"/>
        <v>2</v>
      </c>
      <c r="AK52" s="1">
        <v>8</v>
      </c>
      <c r="AL52" t="s">
        <v>74</v>
      </c>
    </row>
    <row r="53" spans="1:38">
      <c r="A53" s="1">
        <v>8</v>
      </c>
      <c r="B53" t="s">
        <v>74</v>
      </c>
      <c r="C53" s="1" t="s">
        <v>107</v>
      </c>
      <c r="D53" t="s">
        <v>108</v>
      </c>
      <c r="E53" t="s">
        <v>3</v>
      </c>
      <c r="F53" s="2">
        <v>56341627.890000001</v>
      </c>
      <c r="G53" s="2">
        <v>6987133.7300000004</v>
      </c>
      <c r="H53" s="2">
        <v>8.06</v>
      </c>
      <c r="I53" s="2">
        <v>1432601</v>
      </c>
      <c r="J53" s="2">
        <v>208824.8</v>
      </c>
      <c r="K53" s="2">
        <v>4077150.18</v>
      </c>
      <c r="L53" s="2">
        <v>1420</v>
      </c>
      <c r="M53" s="2">
        <v>1267137.75</v>
      </c>
      <c r="N53" s="4">
        <f t="shared" si="15"/>
        <v>6987133.7300000004</v>
      </c>
      <c r="O53" s="7">
        <v>28</v>
      </c>
      <c r="P53" s="7">
        <v>36</v>
      </c>
      <c r="Q53" s="7">
        <v>54</v>
      </c>
      <c r="R53" s="6">
        <v>1</v>
      </c>
      <c r="S53" s="16">
        <v>8469040.4437500015</v>
      </c>
      <c r="T53" s="10">
        <f t="shared" si="16"/>
        <v>1432601</v>
      </c>
      <c r="U53" s="10">
        <f t="shared" si="17"/>
        <v>208824.8</v>
      </c>
      <c r="V53" s="10">
        <f t="shared" si="18"/>
        <v>4077150.18</v>
      </c>
      <c r="W53" s="10">
        <f t="shared" si="19"/>
        <v>1420</v>
      </c>
      <c r="X53" s="10">
        <f t="shared" si="20"/>
        <v>1267137.75</v>
      </c>
      <c r="Y53" s="12">
        <f t="shared" si="21"/>
        <v>6987133.7300000004</v>
      </c>
      <c r="Z53" s="9">
        <v>1326350.375</v>
      </c>
      <c r="AA53" s="9">
        <v>167406.13</v>
      </c>
      <c r="AB53" s="9">
        <v>2561980.5</v>
      </c>
      <c r="AC53" s="9">
        <v>16173</v>
      </c>
      <c r="AD53" s="9"/>
      <c r="AE53" s="13">
        <f t="shared" si="22"/>
        <v>4071910.0049999999</v>
      </c>
      <c r="AF53" s="14">
        <f t="shared" si="23"/>
        <v>40885453.716250002</v>
      </c>
      <c r="AG53" s="14">
        <f t="shared" si="24"/>
        <v>4071910.004999999</v>
      </c>
      <c r="AH53" s="15">
        <f t="shared" si="25"/>
        <v>10.040853964367027</v>
      </c>
      <c r="AI53" s="17">
        <f t="shared" si="13"/>
        <v>32741633.706250004</v>
      </c>
      <c r="AJ53" s="11">
        <f t="shared" si="14"/>
        <v>2</v>
      </c>
      <c r="AK53" s="1">
        <v>8</v>
      </c>
      <c r="AL53" t="s">
        <v>74</v>
      </c>
    </row>
    <row r="54" spans="1:38">
      <c r="A54" s="1">
        <v>8</v>
      </c>
      <c r="B54" t="s">
        <v>74</v>
      </c>
      <c r="C54" s="1" t="s">
        <v>109</v>
      </c>
      <c r="D54" t="s">
        <v>110</v>
      </c>
      <c r="E54" t="s">
        <v>4</v>
      </c>
      <c r="F54" s="2">
        <v>184627346.31</v>
      </c>
      <c r="G54" s="2">
        <v>115344605.51000001</v>
      </c>
      <c r="H54" s="2">
        <v>1.6</v>
      </c>
      <c r="I54" s="2">
        <v>10645495.5</v>
      </c>
      <c r="J54" s="2">
        <v>1330787.8500000001</v>
      </c>
      <c r="K54" s="2">
        <v>81205548.210000008</v>
      </c>
      <c r="L54" s="2">
        <v>1091577.25</v>
      </c>
      <c r="M54" s="2">
        <v>21071196.700000003</v>
      </c>
      <c r="N54" s="4">
        <f t="shared" si="15"/>
        <v>115344605.51000001</v>
      </c>
      <c r="O54" s="7">
        <v>46</v>
      </c>
      <c r="P54" s="7">
        <v>43</v>
      </c>
      <c r="Q54" s="7">
        <v>107</v>
      </c>
      <c r="R54" s="6">
        <v>79</v>
      </c>
      <c r="S54" s="16">
        <v>47734200.903750002</v>
      </c>
      <c r="T54" s="10">
        <f t="shared" si="16"/>
        <v>10645495.5</v>
      </c>
      <c r="U54" s="10">
        <f t="shared" si="17"/>
        <v>1330787.8500000001</v>
      </c>
      <c r="V54" s="10">
        <f t="shared" si="18"/>
        <v>81205548.210000008</v>
      </c>
      <c r="W54" s="10">
        <f t="shared" si="19"/>
        <v>1091577.25</v>
      </c>
      <c r="X54" s="10">
        <f t="shared" si="20"/>
        <v>21071196.700000003</v>
      </c>
      <c r="Y54" s="12">
        <f t="shared" si="21"/>
        <v>115344605.51000001</v>
      </c>
      <c r="Z54" s="9">
        <v>6212624.03125</v>
      </c>
      <c r="AA54" s="9">
        <v>1344297.425</v>
      </c>
      <c r="AB54" s="9">
        <v>22753630.40625</v>
      </c>
      <c r="AC54" s="9">
        <v>617767.86375000002</v>
      </c>
      <c r="AD54" s="9"/>
      <c r="AE54" s="13">
        <f t="shared" si="22"/>
        <v>30928319.72625</v>
      </c>
      <c r="AF54" s="14">
        <f t="shared" si="23"/>
        <v>21548539.896249995</v>
      </c>
      <c r="AG54" s="14">
        <f t="shared" si="24"/>
        <v>30928319.726250008</v>
      </c>
      <c r="AH54" s="15">
        <f t="shared" si="25"/>
        <v>0.69672520482776024</v>
      </c>
      <c r="AI54" s="17">
        <f t="shared" si="13"/>
        <v>-40308099.556250021</v>
      </c>
      <c r="AJ54" s="11">
        <f t="shared" si="14"/>
        <v>2</v>
      </c>
      <c r="AK54" s="1">
        <v>8</v>
      </c>
      <c r="AL54" t="s">
        <v>74</v>
      </c>
    </row>
    <row r="55" spans="1:38">
      <c r="A55" s="1">
        <v>8</v>
      </c>
      <c r="B55" t="s">
        <v>74</v>
      </c>
      <c r="C55" s="1" t="s">
        <v>112</v>
      </c>
      <c r="D55" t="s">
        <v>113</v>
      </c>
      <c r="E55" t="s">
        <v>3</v>
      </c>
      <c r="F55" s="2">
        <v>45127717.850000001</v>
      </c>
      <c r="G55" s="2">
        <v>12064189.01</v>
      </c>
      <c r="H55" s="2">
        <v>3.74</v>
      </c>
      <c r="I55" s="2">
        <v>1930931</v>
      </c>
      <c r="J55" s="2">
        <v>210390.82</v>
      </c>
      <c r="K55" s="2">
        <v>6227601.0100000007</v>
      </c>
      <c r="L55" s="2">
        <v>393</v>
      </c>
      <c r="M55" s="2">
        <v>3694873.18</v>
      </c>
      <c r="N55" s="4">
        <f t="shared" si="15"/>
        <v>12064189.01</v>
      </c>
      <c r="O55" s="7">
        <v>37</v>
      </c>
      <c r="P55" s="7">
        <v>68</v>
      </c>
      <c r="Q55" s="7">
        <v>83</v>
      </c>
      <c r="R55" s="6">
        <v>3</v>
      </c>
      <c r="S55" s="16">
        <v>7433934.7087500002</v>
      </c>
      <c r="T55" s="10">
        <f t="shared" si="16"/>
        <v>1930931</v>
      </c>
      <c r="U55" s="10">
        <f t="shared" si="17"/>
        <v>210390.82</v>
      </c>
      <c r="V55" s="10">
        <f t="shared" si="18"/>
        <v>6227601.0100000007</v>
      </c>
      <c r="W55" s="10">
        <f t="shared" si="19"/>
        <v>393</v>
      </c>
      <c r="X55" s="10">
        <f t="shared" si="20"/>
        <v>3694873.18</v>
      </c>
      <c r="Y55" s="12">
        <f t="shared" si="21"/>
        <v>12064189.01</v>
      </c>
      <c r="Z55" s="9">
        <v>1196659.375</v>
      </c>
      <c r="AA55" s="9">
        <v>169012.72625000001</v>
      </c>
      <c r="AB55" s="9">
        <v>1771082.7150000001</v>
      </c>
      <c r="AC55" s="9">
        <v>1666.25</v>
      </c>
      <c r="AD55" s="9"/>
      <c r="AE55" s="13">
        <f t="shared" si="22"/>
        <v>3138421.0662500001</v>
      </c>
      <c r="AF55" s="14">
        <f t="shared" si="23"/>
        <v>25629594.131250001</v>
      </c>
      <c r="AG55" s="14">
        <f t="shared" si="24"/>
        <v>3138421.0662500001</v>
      </c>
      <c r="AH55" s="15">
        <f t="shared" si="25"/>
        <v>8.1663975579522834</v>
      </c>
      <c r="AI55" s="17">
        <f t="shared" si="13"/>
        <v>19352751.998750001</v>
      </c>
      <c r="AJ55" s="11">
        <f t="shared" si="14"/>
        <v>2</v>
      </c>
      <c r="AK55" s="1">
        <v>8</v>
      </c>
      <c r="AL55" t="s">
        <v>74</v>
      </c>
    </row>
    <row r="56" spans="1:38">
      <c r="A56" s="1">
        <v>8</v>
      </c>
      <c r="B56" t="s">
        <v>111</v>
      </c>
      <c r="C56" s="1" t="s">
        <v>114</v>
      </c>
      <c r="D56" t="s">
        <v>115</v>
      </c>
      <c r="E56" t="s">
        <v>4</v>
      </c>
      <c r="F56" s="2">
        <v>462212082.50999999</v>
      </c>
      <c r="G56" s="2">
        <v>173207623.41</v>
      </c>
      <c r="H56" s="2">
        <v>2.67</v>
      </c>
      <c r="I56" s="2">
        <v>17887165.940000001</v>
      </c>
      <c r="J56" s="2">
        <v>1781255.37</v>
      </c>
      <c r="K56" s="2">
        <v>112102584.44999999</v>
      </c>
      <c r="L56" s="2">
        <v>367761.88</v>
      </c>
      <c r="M56" s="2">
        <v>41068855.770000003</v>
      </c>
      <c r="N56" s="4">
        <f t="shared" si="15"/>
        <v>173207623.41</v>
      </c>
      <c r="O56" s="7">
        <v>44</v>
      </c>
      <c r="P56" s="7">
        <v>37</v>
      </c>
      <c r="Q56" s="7">
        <v>68</v>
      </c>
      <c r="R56" s="6">
        <v>16</v>
      </c>
      <c r="S56" s="16">
        <v>81098407.826250017</v>
      </c>
      <c r="T56" s="10">
        <f t="shared" si="16"/>
        <v>17887165.940000001</v>
      </c>
      <c r="U56" s="10">
        <f t="shared" si="17"/>
        <v>1781255.37</v>
      </c>
      <c r="V56" s="10">
        <f t="shared" si="18"/>
        <v>112102584.44999999</v>
      </c>
      <c r="W56" s="10">
        <f t="shared" si="19"/>
        <v>367761.88</v>
      </c>
      <c r="X56" s="10">
        <f t="shared" si="20"/>
        <v>41068855.770000003</v>
      </c>
      <c r="Y56" s="12">
        <f t="shared" si="21"/>
        <v>173207623.41</v>
      </c>
      <c r="Z56" s="9">
        <v>13746670.93375</v>
      </c>
      <c r="AA56" s="9">
        <v>1469069.4537499999</v>
      </c>
      <c r="AB56" s="9">
        <v>45355208.666250005</v>
      </c>
      <c r="AC56" s="9">
        <v>925514.23124999995</v>
      </c>
      <c r="AD56" s="9"/>
      <c r="AE56" s="13">
        <f t="shared" si="22"/>
        <v>61496463.285000011</v>
      </c>
      <c r="AF56" s="14">
        <f t="shared" si="23"/>
        <v>207906051.27374998</v>
      </c>
      <c r="AG56" s="14">
        <f t="shared" si="24"/>
        <v>61496463.284999996</v>
      </c>
      <c r="AH56" s="15">
        <f t="shared" si="25"/>
        <v>3.3807806200208215</v>
      </c>
      <c r="AI56" s="17">
        <f t="shared" si="13"/>
        <v>84913124.703749985</v>
      </c>
      <c r="AJ56" s="11">
        <f t="shared" si="14"/>
        <v>2</v>
      </c>
      <c r="AK56" s="1">
        <v>8</v>
      </c>
      <c r="AL56" t="s">
        <v>111</v>
      </c>
    </row>
    <row r="57" spans="1:38">
      <c r="A57" s="1">
        <v>8</v>
      </c>
      <c r="B57" t="s">
        <v>111</v>
      </c>
      <c r="C57" s="1" t="s">
        <v>116</v>
      </c>
      <c r="D57" t="s">
        <v>117</v>
      </c>
      <c r="E57" t="s">
        <v>3</v>
      </c>
      <c r="F57" s="2">
        <v>44077700.869999997</v>
      </c>
      <c r="G57" s="2">
        <v>47767704.299999997</v>
      </c>
      <c r="H57" s="2">
        <v>0.92</v>
      </c>
      <c r="I57" s="2">
        <v>3064802.5</v>
      </c>
      <c r="J57" s="2">
        <v>397600.87</v>
      </c>
      <c r="K57" s="2">
        <v>35580321.760000005</v>
      </c>
      <c r="L57" s="2">
        <v>165814.26</v>
      </c>
      <c r="M57" s="2">
        <v>8559164.9100000001</v>
      </c>
      <c r="N57" s="4">
        <f t="shared" si="15"/>
        <v>47767704.299999997</v>
      </c>
      <c r="O57" s="7">
        <v>44</v>
      </c>
      <c r="P57" s="7">
        <v>51</v>
      </c>
      <c r="Q57" s="7">
        <v>144</v>
      </c>
      <c r="R57" s="6">
        <v>15</v>
      </c>
      <c r="S57" s="16">
        <v>29446471.252500001</v>
      </c>
      <c r="T57" s="10">
        <f t="shared" si="16"/>
        <v>3064802.5</v>
      </c>
      <c r="U57" s="10">
        <f t="shared" si="17"/>
        <v>397600.87</v>
      </c>
      <c r="V57" s="10">
        <f t="shared" si="18"/>
        <v>35580321.760000005</v>
      </c>
      <c r="W57" s="10">
        <f t="shared" si="19"/>
        <v>165814.26</v>
      </c>
      <c r="X57" s="10">
        <f t="shared" si="20"/>
        <v>8559164.9100000001</v>
      </c>
      <c r="Y57" s="12">
        <f t="shared" si="21"/>
        <v>47767704.299999997</v>
      </c>
      <c r="Z57" s="9">
        <v>3006773.4375</v>
      </c>
      <c r="AA57" s="9">
        <v>441410.92749999999</v>
      </c>
      <c r="AB57" s="9">
        <v>8321817.9137500003</v>
      </c>
      <c r="AC57" s="9">
        <v>471225.67875000002</v>
      </c>
      <c r="AD57" s="9"/>
      <c r="AE57" s="13">
        <f t="shared" si="22"/>
        <v>12241227.957500001</v>
      </c>
      <c r="AF57" s="14">
        <f t="shared" si="23"/>
        <v>-33136474.682500001</v>
      </c>
      <c r="AG57" s="14">
        <f t="shared" si="24"/>
        <v>12241227.957500003</v>
      </c>
      <c r="AH57" s="15">
        <f t="shared" si="25"/>
        <v>-2.7069567528311418</v>
      </c>
      <c r="AI57" s="17">
        <f t="shared" si="13"/>
        <v>-57618930.597499996</v>
      </c>
      <c r="AJ57" s="11">
        <f t="shared" si="14"/>
        <v>1.9999999999999991</v>
      </c>
      <c r="AK57" s="1">
        <v>8</v>
      </c>
      <c r="AL57" t="s">
        <v>111</v>
      </c>
    </row>
    <row r="58" spans="1:38">
      <c r="A58" s="1">
        <v>8</v>
      </c>
      <c r="B58" t="s">
        <v>111</v>
      </c>
      <c r="C58" s="1" t="s">
        <v>118</v>
      </c>
      <c r="D58" t="s">
        <v>119</v>
      </c>
      <c r="E58" t="s">
        <v>3</v>
      </c>
      <c r="F58" s="2">
        <v>14790615.4</v>
      </c>
      <c r="G58" s="2">
        <v>22948894.239999998</v>
      </c>
      <c r="H58" s="2">
        <v>0.64</v>
      </c>
      <c r="I58" s="2">
        <v>2911800</v>
      </c>
      <c r="J58" s="2">
        <v>224646.56</v>
      </c>
      <c r="K58" s="2">
        <v>16934955.670000002</v>
      </c>
      <c r="L58" s="2">
        <v>22167.34</v>
      </c>
      <c r="M58" s="2">
        <v>2855324.67</v>
      </c>
      <c r="N58" s="4">
        <f t="shared" si="15"/>
        <v>22948894.240000002</v>
      </c>
      <c r="O58" s="7">
        <v>56</v>
      </c>
      <c r="P58" s="7">
        <v>113</v>
      </c>
      <c r="Q58" s="7">
        <v>303</v>
      </c>
      <c r="R58" s="6">
        <v>1</v>
      </c>
      <c r="S58" s="16">
        <v>10066227.067499999</v>
      </c>
      <c r="T58" s="10">
        <f t="shared" si="16"/>
        <v>2911800</v>
      </c>
      <c r="U58" s="10">
        <f t="shared" si="17"/>
        <v>224646.56</v>
      </c>
      <c r="V58" s="10">
        <f t="shared" si="18"/>
        <v>16934955.670000002</v>
      </c>
      <c r="W58" s="10">
        <f t="shared" si="19"/>
        <v>22167.34</v>
      </c>
      <c r="X58" s="10">
        <f t="shared" si="20"/>
        <v>2855324.67</v>
      </c>
      <c r="Y58" s="12">
        <f t="shared" si="21"/>
        <v>22948894.240000002</v>
      </c>
      <c r="Z58" s="9">
        <v>1229462.5</v>
      </c>
      <c r="AA58" s="9">
        <v>102093.49875</v>
      </c>
      <c r="AB58" s="9">
        <v>1830230.4412500001</v>
      </c>
      <c r="AC58" s="9">
        <v>448079.13624999998</v>
      </c>
      <c r="AD58" s="9"/>
      <c r="AE58" s="13">
        <f t="shared" si="22"/>
        <v>3609865.5762500004</v>
      </c>
      <c r="AF58" s="14">
        <f t="shared" si="23"/>
        <v>-18224505.907499999</v>
      </c>
      <c r="AG58" s="14">
        <f t="shared" si="24"/>
        <v>3609865.5762499981</v>
      </c>
      <c r="AH58" s="15">
        <f t="shared" si="25"/>
        <v>-5.0485275760412076</v>
      </c>
      <c r="AI58" s="17">
        <f t="shared" si="13"/>
        <v>-25444237.059999995</v>
      </c>
      <c r="AJ58" s="11">
        <f t="shared" si="14"/>
        <v>2</v>
      </c>
      <c r="AK58" s="1">
        <v>8</v>
      </c>
      <c r="AL58" t="s">
        <v>111</v>
      </c>
    </row>
    <row r="59" spans="1:38">
      <c r="A59" s="1">
        <v>8</v>
      </c>
      <c r="B59" t="s">
        <v>111</v>
      </c>
      <c r="C59" s="1" t="s">
        <v>120</v>
      </c>
      <c r="D59" t="s">
        <v>121</v>
      </c>
      <c r="E59" t="s">
        <v>3</v>
      </c>
      <c r="F59" s="2">
        <v>21428454.98</v>
      </c>
      <c r="G59" s="2">
        <v>23873090.079999998</v>
      </c>
      <c r="H59" s="2">
        <v>0.9</v>
      </c>
      <c r="I59" s="2">
        <v>4487190</v>
      </c>
      <c r="J59" s="2">
        <v>283672.18</v>
      </c>
      <c r="K59" s="2">
        <v>15374572.629999999</v>
      </c>
      <c r="L59" s="2">
        <v>678855.57000000007</v>
      </c>
      <c r="M59" s="2">
        <v>3048799.7</v>
      </c>
      <c r="N59" s="4">
        <f t="shared" si="15"/>
        <v>23873090.079999998</v>
      </c>
      <c r="O59" s="7">
        <v>66</v>
      </c>
      <c r="P59" s="7">
        <v>58</v>
      </c>
      <c r="Q59" s="7">
        <v>223</v>
      </c>
      <c r="R59" s="6">
        <v>103</v>
      </c>
      <c r="S59" s="16">
        <v>10782401.6775</v>
      </c>
      <c r="T59" s="10">
        <f t="shared" si="16"/>
        <v>4487190</v>
      </c>
      <c r="U59" s="10">
        <f t="shared" si="17"/>
        <v>283672.18</v>
      </c>
      <c r="V59" s="10">
        <f t="shared" si="18"/>
        <v>15374572.629999999</v>
      </c>
      <c r="W59" s="10">
        <f t="shared" si="19"/>
        <v>678855.57000000007</v>
      </c>
      <c r="X59" s="10">
        <f t="shared" si="20"/>
        <v>3048799.7</v>
      </c>
      <c r="Y59" s="12">
        <f t="shared" si="21"/>
        <v>23873090.079999998</v>
      </c>
      <c r="Z59" s="9">
        <v>1618284.375</v>
      </c>
      <c r="AA59" s="9">
        <v>186148.76624999999</v>
      </c>
      <c r="AB59" s="9">
        <v>2054866.3812500001</v>
      </c>
      <c r="AC59" s="9">
        <v>228578.50625000001</v>
      </c>
      <c r="AD59" s="9"/>
      <c r="AE59" s="13">
        <f t="shared" si="22"/>
        <v>4087878.0287500001</v>
      </c>
      <c r="AF59" s="14">
        <f t="shared" si="23"/>
        <v>-13227036.777499998</v>
      </c>
      <c r="AG59" s="14">
        <f t="shared" si="24"/>
        <v>4087878.0287499987</v>
      </c>
      <c r="AH59" s="15">
        <f t="shared" si="25"/>
        <v>-3.2356730520026287</v>
      </c>
      <c r="AI59" s="17">
        <f t="shared" si="13"/>
        <v>-21402792.834999993</v>
      </c>
      <c r="AJ59" s="11">
        <f t="shared" si="14"/>
        <v>1.9999999999999996</v>
      </c>
      <c r="AK59" s="1">
        <v>8</v>
      </c>
      <c r="AL59" t="s">
        <v>111</v>
      </c>
    </row>
    <row r="60" spans="1:38">
      <c r="A60" s="1">
        <v>8</v>
      </c>
      <c r="B60" t="s">
        <v>111</v>
      </c>
      <c r="C60" s="1" t="s">
        <v>122</v>
      </c>
      <c r="D60" t="s">
        <v>123</v>
      </c>
      <c r="E60" t="s">
        <v>3</v>
      </c>
      <c r="F60" s="2">
        <v>43517772.079999998</v>
      </c>
      <c r="G60" s="2">
        <v>237086530.28999999</v>
      </c>
      <c r="H60" s="2">
        <v>0.18</v>
      </c>
      <c r="I60" s="2">
        <v>4547126.5</v>
      </c>
      <c r="J60" s="2">
        <v>1595558.98</v>
      </c>
      <c r="K60" s="2">
        <v>201210325.33000001</v>
      </c>
      <c r="L60" s="2">
        <v>1150229.5</v>
      </c>
      <c r="M60" s="2">
        <v>28583289.98</v>
      </c>
      <c r="N60" s="4">
        <f t="shared" si="15"/>
        <v>237086530.28999999</v>
      </c>
      <c r="O60" s="7">
        <v>42</v>
      </c>
      <c r="P60" s="7">
        <v>93</v>
      </c>
      <c r="Q60" s="7">
        <v>311</v>
      </c>
      <c r="R60" s="6">
        <v>42</v>
      </c>
      <c r="S60" s="16">
        <v>58826232.506250009</v>
      </c>
      <c r="T60" s="10">
        <f t="shared" si="16"/>
        <v>4547126.5</v>
      </c>
      <c r="U60" s="10">
        <f t="shared" si="17"/>
        <v>1595558.98</v>
      </c>
      <c r="V60" s="10">
        <f t="shared" si="18"/>
        <v>201210325.33000001</v>
      </c>
      <c r="W60" s="10">
        <f t="shared" si="19"/>
        <v>1150229.5</v>
      </c>
      <c r="X60" s="10">
        <f t="shared" si="20"/>
        <v>28583289.98</v>
      </c>
      <c r="Y60" s="12">
        <f t="shared" si="21"/>
        <v>237086530.28999999</v>
      </c>
      <c r="Z60" s="9">
        <v>2351515.8125</v>
      </c>
      <c r="AA60" s="9">
        <v>1139681.74125</v>
      </c>
      <c r="AB60" s="9">
        <v>20807034.431250002</v>
      </c>
      <c r="AC60" s="9">
        <v>514494.47499999998</v>
      </c>
      <c r="AD60" s="9"/>
      <c r="AE60" s="13">
        <f t="shared" si="22"/>
        <v>24812726.460000005</v>
      </c>
      <c r="AF60" s="14">
        <f t="shared" si="23"/>
        <v>-252394990.71625</v>
      </c>
      <c r="AG60" s="14">
        <f t="shared" si="24"/>
        <v>24812726.460000008</v>
      </c>
      <c r="AH60" s="15">
        <f t="shared" si="25"/>
        <v>-10.171997467635402</v>
      </c>
      <c r="AI60" s="17">
        <f t="shared" si="13"/>
        <v>-302020443.63625002</v>
      </c>
      <c r="AJ60" s="11">
        <f t="shared" si="14"/>
        <v>2</v>
      </c>
      <c r="AK60" s="1">
        <v>8</v>
      </c>
      <c r="AL60" t="s">
        <v>111</v>
      </c>
    </row>
    <row r="61" spans="1:38">
      <c r="A61" s="1">
        <v>8</v>
      </c>
      <c r="B61" t="s">
        <v>111</v>
      </c>
      <c r="C61" s="1" t="s">
        <v>124</v>
      </c>
      <c r="D61" t="s">
        <v>125</v>
      </c>
      <c r="E61" t="s">
        <v>3</v>
      </c>
      <c r="F61" s="2">
        <v>41458166.780000001</v>
      </c>
      <c r="G61" s="2">
        <v>16811820.739999998</v>
      </c>
      <c r="H61" s="2">
        <v>2.4700000000000002</v>
      </c>
      <c r="I61" s="2">
        <v>663075</v>
      </c>
      <c r="J61" s="2">
        <v>556481.39</v>
      </c>
      <c r="K61" s="2">
        <v>7444271.3000000007</v>
      </c>
      <c r="L61" s="2">
        <v>318283.5</v>
      </c>
      <c r="M61" s="2">
        <v>7829709.5500000007</v>
      </c>
      <c r="N61" s="4">
        <f t="shared" si="15"/>
        <v>16811820.740000002</v>
      </c>
      <c r="O61" s="7">
        <v>22</v>
      </c>
      <c r="P61" s="7">
        <v>126</v>
      </c>
      <c r="Q61" s="7">
        <v>143</v>
      </c>
      <c r="R61" s="6">
        <v>33</v>
      </c>
      <c r="S61" s="16">
        <v>6889300.9087499995</v>
      </c>
      <c r="T61" s="10">
        <f t="shared" si="16"/>
        <v>663075</v>
      </c>
      <c r="U61" s="10">
        <f t="shared" si="17"/>
        <v>556481.39</v>
      </c>
      <c r="V61" s="10">
        <f t="shared" si="18"/>
        <v>7444271.3000000007</v>
      </c>
      <c r="W61" s="10">
        <f t="shared" si="19"/>
        <v>318283.5</v>
      </c>
      <c r="X61" s="10">
        <f t="shared" si="20"/>
        <v>7829709.5500000007</v>
      </c>
      <c r="Y61" s="12">
        <f t="shared" si="21"/>
        <v>16811820.740000002</v>
      </c>
      <c r="Z61" s="9">
        <v>1083024.625</v>
      </c>
      <c r="AA61" s="9">
        <v>112308.5925</v>
      </c>
      <c r="AB61" s="9">
        <v>1741336.5462499999</v>
      </c>
      <c r="AC61" s="9">
        <v>145346.5</v>
      </c>
      <c r="AD61" s="9"/>
      <c r="AE61" s="13">
        <f t="shared" si="22"/>
        <v>3082016.2637499999</v>
      </c>
      <c r="AF61" s="14">
        <f t="shared" si="23"/>
        <v>17757045.131250001</v>
      </c>
      <c r="AG61" s="14">
        <f t="shared" si="24"/>
        <v>3082016.2637499943</v>
      </c>
      <c r="AH61" s="15">
        <f t="shared" si="25"/>
        <v>5.7615027344613683</v>
      </c>
      <c r="AI61" s="17">
        <f t="shared" si="13"/>
        <v>11593012.603750013</v>
      </c>
      <c r="AJ61" s="11">
        <f t="shared" si="14"/>
        <v>2</v>
      </c>
      <c r="AK61" s="1">
        <v>8</v>
      </c>
      <c r="AL61" t="s">
        <v>111</v>
      </c>
    </row>
    <row r="62" spans="1:38">
      <c r="A62" s="1">
        <v>8</v>
      </c>
      <c r="B62" t="s">
        <v>111</v>
      </c>
      <c r="C62" s="1" t="s">
        <v>126</v>
      </c>
      <c r="D62" t="s">
        <v>127</v>
      </c>
      <c r="E62" t="s">
        <v>3</v>
      </c>
      <c r="F62" s="2">
        <v>10925522.630000001</v>
      </c>
      <c r="G62" s="2">
        <v>17610494.440000001</v>
      </c>
      <c r="H62" s="2">
        <v>0.62</v>
      </c>
      <c r="I62" s="2">
        <v>1651500</v>
      </c>
      <c r="J62" s="2">
        <v>195180.17</v>
      </c>
      <c r="K62" s="2">
        <v>11872085.860000001</v>
      </c>
      <c r="L62" s="2">
        <v>0</v>
      </c>
      <c r="M62" s="2">
        <v>3891728.4099999997</v>
      </c>
      <c r="N62" s="4">
        <f t="shared" si="15"/>
        <v>17610494.440000001</v>
      </c>
      <c r="O62" s="7">
        <v>54</v>
      </c>
      <c r="P62" s="7">
        <v>175</v>
      </c>
      <c r="Q62" s="7">
        <v>228</v>
      </c>
      <c r="R62" s="6">
        <v>0</v>
      </c>
      <c r="S62" s="16">
        <v>5689963.2975000003</v>
      </c>
      <c r="T62" s="10">
        <f t="shared" si="16"/>
        <v>1651500</v>
      </c>
      <c r="U62" s="10">
        <f t="shared" si="17"/>
        <v>195180.17</v>
      </c>
      <c r="V62" s="10">
        <f t="shared" si="18"/>
        <v>11872085.860000001</v>
      </c>
      <c r="W62" s="10">
        <f t="shared" si="19"/>
        <v>0</v>
      </c>
      <c r="X62" s="10">
        <f t="shared" si="20"/>
        <v>3891728.4099999997</v>
      </c>
      <c r="Y62" s="12">
        <f t="shared" si="21"/>
        <v>17610494.440000001</v>
      </c>
      <c r="Z62" s="9">
        <v>1191612.5</v>
      </c>
      <c r="AA62" s="9">
        <v>45558.221250000002</v>
      </c>
      <c r="AB62" s="9">
        <v>1361764.3900000001</v>
      </c>
      <c r="AC62" s="9">
        <v>186205.53125</v>
      </c>
      <c r="AD62" s="9"/>
      <c r="AE62" s="13">
        <f t="shared" si="22"/>
        <v>2785140.6425000001</v>
      </c>
      <c r="AF62" s="14">
        <f t="shared" si="23"/>
        <v>-12374935.107500002</v>
      </c>
      <c r="AG62" s="14">
        <f t="shared" si="24"/>
        <v>2785140.6425000019</v>
      </c>
      <c r="AH62" s="15">
        <f t="shared" si="25"/>
        <v>-4.4431993554163913</v>
      </c>
      <c r="AI62" s="17">
        <f t="shared" si="13"/>
        <v>-17945216.392500006</v>
      </c>
      <c r="AJ62" s="11">
        <f t="shared" si="14"/>
        <v>2</v>
      </c>
      <c r="AK62" s="1">
        <v>8</v>
      </c>
      <c r="AL62" t="s">
        <v>111</v>
      </c>
    </row>
    <row r="63" spans="1:38">
      <c r="A63" s="1">
        <v>8</v>
      </c>
      <c r="B63" t="s">
        <v>111</v>
      </c>
      <c r="C63" s="1" t="s">
        <v>128</v>
      </c>
      <c r="D63" t="s">
        <v>129</v>
      </c>
      <c r="E63" t="s">
        <v>3</v>
      </c>
      <c r="F63" s="2">
        <v>59614591.630000003</v>
      </c>
      <c r="G63" s="2">
        <v>29787445.09</v>
      </c>
      <c r="H63" s="2">
        <v>2</v>
      </c>
      <c r="I63" s="2">
        <v>6031953.6299999999</v>
      </c>
      <c r="J63" s="2">
        <v>247524.07</v>
      </c>
      <c r="K63" s="2">
        <v>18759269.850000001</v>
      </c>
      <c r="L63" s="2">
        <v>923014.5</v>
      </c>
      <c r="M63" s="2">
        <v>3825683.04</v>
      </c>
      <c r="N63" s="4">
        <f t="shared" si="15"/>
        <v>29787445.09</v>
      </c>
      <c r="O63" s="7">
        <v>53</v>
      </c>
      <c r="P63" s="7">
        <v>50</v>
      </c>
      <c r="Q63" s="7">
        <v>213</v>
      </c>
      <c r="R63" s="6">
        <v>85</v>
      </c>
      <c r="S63" s="16">
        <v>10194190.425000001</v>
      </c>
      <c r="T63" s="10">
        <f t="shared" si="16"/>
        <v>6031953.6299999999</v>
      </c>
      <c r="U63" s="10">
        <f t="shared" si="17"/>
        <v>247524.07</v>
      </c>
      <c r="V63" s="10">
        <f t="shared" si="18"/>
        <v>18759269.850000001</v>
      </c>
      <c r="W63" s="10">
        <f t="shared" si="19"/>
        <v>923014.5</v>
      </c>
      <c r="X63" s="10">
        <f t="shared" si="20"/>
        <v>3825683.04</v>
      </c>
      <c r="Y63" s="12">
        <f t="shared" si="21"/>
        <v>29787445.09</v>
      </c>
      <c r="Z63" s="9">
        <v>2726254.25</v>
      </c>
      <c r="AA63" s="9">
        <v>116207.8775</v>
      </c>
      <c r="AB63" s="9">
        <v>2373739.1312499996</v>
      </c>
      <c r="AC63" s="9">
        <v>471803.73125000001</v>
      </c>
      <c r="AD63" s="9"/>
      <c r="AE63" s="13">
        <f t="shared" si="22"/>
        <v>5688004.9899999993</v>
      </c>
      <c r="AF63" s="14">
        <f t="shared" si="23"/>
        <v>19632956.114999998</v>
      </c>
      <c r="AG63" s="14">
        <f t="shared" si="24"/>
        <v>5688004.9899999984</v>
      </c>
      <c r="AH63" s="15">
        <f t="shared" si="25"/>
        <v>3.4516418585279762</v>
      </c>
      <c r="AI63" s="17">
        <f t="shared" si="13"/>
        <v>8256946.1350000007</v>
      </c>
      <c r="AJ63" s="11">
        <f t="shared" si="14"/>
        <v>2</v>
      </c>
      <c r="AK63" s="1">
        <v>8</v>
      </c>
      <c r="AL63" t="s">
        <v>111</v>
      </c>
    </row>
    <row r="64" spans="1:38">
      <c r="A64" s="1">
        <v>8</v>
      </c>
      <c r="B64" t="s">
        <v>111</v>
      </c>
      <c r="C64" s="1" t="s">
        <v>131</v>
      </c>
      <c r="D64" t="s">
        <v>132</v>
      </c>
      <c r="E64" t="s">
        <v>3</v>
      </c>
      <c r="F64" s="2">
        <v>21246646.960000001</v>
      </c>
      <c r="G64" s="2">
        <v>15233302.9</v>
      </c>
      <c r="H64" s="2">
        <v>1.39</v>
      </c>
      <c r="I64" s="2">
        <v>1874814.25</v>
      </c>
      <c r="J64" s="2">
        <v>154899.46</v>
      </c>
      <c r="K64" s="2">
        <v>8580627.4400000013</v>
      </c>
      <c r="L64" s="2">
        <v>1038504</v>
      </c>
      <c r="M64" s="2">
        <v>3584457.75</v>
      </c>
      <c r="N64" s="4">
        <f t="shared" si="15"/>
        <v>15233302.900000002</v>
      </c>
      <c r="O64" s="7">
        <v>41</v>
      </c>
      <c r="P64" s="7">
        <v>41</v>
      </c>
      <c r="Q64" s="7">
        <v>117</v>
      </c>
      <c r="R64" s="6">
        <v>816</v>
      </c>
      <c r="S64" s="16">
        <v>8521069.4100000001</v>
      </c>
      <c r="T64" s="10">
        <f t="shared" si="16"/>
        <v>1874814.25</v>
      </c>
      <c r="U64" s="10">
        <f t="shared" si="17"/>
        <v>154899.46</v>
      </c>
      <c r="V64" s="10">
        <f t="shared" si="18"/>
        <v>8580627.4400000013</v>
      </c>
      <c r="W64" s="10">
        <f t="shared" si="19"/>
        <v>1038504</v>
      </c>
      <c r="X64" s="10">
        <f t="shared" si="20"/>
        <v>3584457.75</v>
      </c>
      <c r="Y64" s="12">
        <f t="shared" si="21"/>
        <v>15233302.900000002</v>
      </c>
      <c r="Z64" s="9">
        <v>1222763.1875</v>
      </c>
      <c r="AA64" s="9">
        <v>113536.91999999998</v>
      </c>
      <c r="AB64" s="9">
        <v>2502333.8050000002</v>
      </c>
      <c r="AC64" s="9">
        <v>92013.15625</v>
      </c>
      <c r="AD64" s="9"/>
      <c r="AE64" s="13">
        <f t="shared" si="22"/>
        <v>3930647.0687500001</v>
      </c>
      <c r="AF64" s="14">
        <f t="shared" si="23"/>
        <v>-2507725.3500000015</v>
      </c>
      <c r="AG64" s="14">
        <f t="shared" si="24"/>
        <v>3930647.0687499978</v>
      </c>
      <c r="AH64" s="15">
        <f t="shared" si="25"/>
        <v>-0.63799300881966337</v>
      </c>
      <c r="AI64" s="17">
        <f t="shared" si="13"/>
        <v>-10369019.487499997</v>
      </c>
      <c r="AJ64" s="11">
        <f t="shared" si="14"/>
        <v>2</v>
      </c>
      <c r="AK64" s="1">
        <v>8</v>
      </c>
      <c r="AL64" t="s">
        <v>111</v>
      </c>
    </row>
    <row r="65" spans="1:38">
      <c r="A65" s="1">
        <v>8</v>
      </c>
      <c r="B65" t="s">
        <v>130</v>
      </c>
      <c r="C65" s="1" t="s">
        <v>133</v>
      </c>
      <c r="D65" t="s">
        <v>134</v>
      </c>
      <c r="E65" t="s">
        <v>4</v>
      </c>
      <c r="F65" s="2">
        <v>293438173.77999997</v>
      </c>
      <c r="G65" s="2">
        <v>146503913.44999999</v>
      </c>
      <c r="H65" s="2">
        <v>2</v>
      </c>
      <c r="I65" s="2">
        <v>10849121.42</v>
      </c>
      <c r="J65" s="2">
        <v>5931388.0199999996</v>
      </c>
      <c r="K65" s="2">
        <v>107503474.07999998</v>
      </c>
      <c r="L65" s="2">
        <v>0</v>
      </c>
      <c r="M65" s="2">
        <v>22219929.930000003</v>
      </c>
      <c r="N65" s="4">
        <f t="shared" si="15"/>
        <v>146503913.44999999</v>
      </c>
      <c r="O65" s="7">
        <v>43</v>
      </c>
      <c r="P65" s="7">
        <v>78</v>
      </c>
      <c r="Q65" s="7">
        <v>108</v>
      </c>
      <c r="R65" s="6">
        <v>0</v>
      </c>
      <c r="S65" s="16">
        <v>57009571.680000007</v>
      </c>
      <c r="T65" s="10">
        <f t="shared" si="16"/>
        <v>10849121.42</v>
      </c>
      <c r="U65" s="10">
        <f t="shared" si="17"/>
        <v>5931388.0199999996</v>
      </c>
      <c r="V65" s="10">
        <f t="shared" si="18"/>
        <v>107503474.07999998</v>
      </c>
      <c r="W65" s="10">
        <f t="shared" si="19"/>
        <v>0</v>
      </c>
      <c r="X65" s="10">
        <f t="shared" si="20"/>
        <v>22219929.930000003</v>
      </c>
      <c r="Y65" s="12">
        <f t="shared" si="21"/>
        <v>146503913.44999999</v>
      </c>
      <c r="Z65" s="9">
        <v>9021727</v>
      </c>
      <c r="AA65" s="9">
        <v>1969061.7887499998</v>
      </c>
      <c r="AB65" s="9">
        <v>31844526.506249998</v>
      </c>
      <c r="AC65" s="9">
        <v>887857.07000000007</v>
      </c>
      <c r="AD65" s="9"/>
      <c r="AE65" s="13">
        <f t="shared" si="22"/>
        <v>43723172.365000002</v>
      </c>
      <c r="AF65" s="14">
        <f t="shared" si="23"/>
        <v>89924688.649999976</v>
      </c>
      <c r="AG65" s="14">
        <f t="shared" si="24"/>
        <v>43723172.36500001</v>
      </c>
      <c r="AH65" s="15">
        <f t="shared" si="25"/>
        <v>2.0566826189854388</v>
      </c>
      <c r="AI65" s="17">
        <f t="shared" si="13"/>
        <v>2478343.9199999627</v>
      </c>
      <c r="AJ65" s="11">
        <f t="shared" si="14"/>
        <v>2</v>
      </c>
      <c r="AK65" s="1">
        <v>8</v>
      </c>
      <c r="AL65" t="s">
        <v>130</v>
      </c>
    </row>
    <row r="66" spans="1:38">
      <c r="A66" s="1">
        <v>8</v>
      </c>
      <c r="B66" t="s">
        <v>130</v>
      </c>
      <c r="C66" s="1" t="s">
        <v>135</v>
      </c>
      <c r="D66" t="s">
        <v>136</v>
      </c>
      <c r="E66" t="s">
        <v>3</v>
      </c>
      <c r="F66" s="2">
        <v>64837425.780000001</v>
      </c>
      <c r="G66" s="2">
        <v>48339326.909999996</v>
      </c>
      <c r="H66" s="2">
        <v>1.34</v>
      </c>
      <c r="I66" s="2">
        <v>4070447.5</v>
      </c>
      <c r="J66" s="2">
        <v>425315.1</v>
      </c>
      <c r="K66" s="2">
        <v>37709080.370000005</v>
      </c>
      <c r="L66" s="2">
        <v>295429.90000000002</v>
      </c>
      <c r="M66" s="2">
        <v>5839054.04</v>
      </c>
      <c r="N66" s="4">
        <f t="shared" si="15"/>
        <v>48339326.910000004</v>
      </c>
      <c r="O66" s="7">
        <v>45</v>
      </c>
      <c r="P66" s="7">
        <v>33</v>
      </c>
      <c r="Q66" s="7">
        <v>217</v>
      </c>
      <c r="R66" s="6">
        <v>54</v>
      </c>
      <c r="S66" s="16">
        <v>20303917.522500001</v>
      </c>
      <c r="T66" s="10">
        <f t="shared" si="16"/>
        <v>4070447.5</v>
      </c>
      <c r="U66" s="10">
        <f t="shared" si="17"/>
        <v>425315.1</v>
      </c>
      <c r="V66" s="10">
        <f t="shared" si="18"/>
        <v>37709080.370000005</v>
      </c>
      <c r="W66" s="10">
        <f t="shared" si="19"/>
        <v>295429.90000000002</v>
      </c>
      <c r="X66" s="10">
        <f t="shared" si="20"/>
        <v>5839054.04</v>
      </c>
      <c r="Y66" s="12">
        <f t="shared" si="21"/>
        <v>48339326.910000004</v>
      </c>
      <c r="Z66" s="9">
        <v>2699516.1875</v>
      </c>
      <c r="AA66" s="9">
        <v>367123.37374999997</v>
      </c>
      <c r="AB66" s="9">
        <v>5269517.1487499997</v>
      </c>
      <c r="AC66" s="9">
        <v>218695.20250000001</v>
      </c>
      <c r="AD66" s="9"/>
      <c r="AE66" s="13">
        <f t="shared" si="22"/>
        <v>8554851.9124999996</v>
      </c>
      <c r="AF66" s="14">
        <f t="shared" si="23"/>
        <v>-3805818.6525000036</v>
      </c>
      <c r="AG66" s="14">
        <f t="shared" si="24"/>
        <v>8554851.912499994</v>
      </c>
      <c r="AH66" s="15">
        <f t="shared" si="25"/>
        <v>-0.44487253448994241</v>
      </c>
      <c r="AI66" s="17">
        <f t="shared" si="13"/>
        <v>-20915522.477499992</v>
      </c>
      <c r="AJ66" s="11">
        <f t="shared" si="14"/>
        <v>2</v>
      </c>
      <c r="AK66" s="1">
        <v>8</v>
      </c>
      <c r="AL66" t="s">
        <v>130</v>
      </c>
    </row>
    <row r="67" spans="1:38">
      <c r="A67" s="1">
        <v>8</v>
      </c>
      <c r="B67" t="s">
        <v>130</v>
      </c>
      <c r="C67" s="1" t="s">
        <v>137</v>
      </c>
      <c r="D67" t="s">
        <v>138</v>
      </c>
      <c r="E67" t="s">
        <v>3</v>
      </c>
      <c r="F67" s="2">
        <v>47260219.090000004</v>
      </c>
      <c r="G67" s="2">
        <v>30969882.629999999</v>
      </c>
      <c r="H67" s="2">
        <v>1.53</v>
      </c>
      <c r="I67" s="2">
        <v>2085307</v>
      </c>
      <c r="J67" s="2">
        <v>563860.44999999995</v>
      </c>
      <c r="K67" s="2">
        <v>22152527.760000002</v>
      </c>
      <c r="L67" s="2">
        <v>42039</v>
      </c>
      <c r="M67" s="2">
        <v>6126148.4199999999</v>
      </c>
      <c r="N67" s="4">
        <f t="shared" si="15"/>
        <v>30969882.630000003</v>
      </c>
      <c r="O67" s="7">
        <v>48</v>
      </c>
      <c r="P67" s="7">
        <v>52</v>
      </c>
      <c r="Q67" s="7">
        <v>184</v>
      </c>
      <c r="R67" s="6">
        <v>44</v>
      </c>
      <c r="S67" s="16">
        <v>12713403.944999998</v>
      </c>
      <c r="T67" s="10">
        <f t="shared" si="16"/>
        <v>2085307</v>
      </c>
      <c r="U67" s="10">
        <f t="shared" si="17"/>
        <v>563860.44999999995</v>
      </c>
      <c r="V67" s="10">
        <f t="shared" si="18"/>
        <v>22152527.760000002</v>
      </c>
      <c r="W67" s="10">
        <f t="shared" si="19"/>
        <v>42039</v>
      </c>
      <c r="X67" s="10">
        <f t="shared" si="20"/>
        <v>6126148.4199999999</v>
      </c>
      <c r="Y67" s="12">
        <f t="shared" si="21"/>
        <v>30969882.630000003</v>
      </c>
      <c r="Z67" s="9">
        <v>1865680.5</v>
      </c>
      <c r="AA67" s="9">
        <v>241451.97500000001</v>
      </c>
      <c r="AB67" s="9">
        <v>3844623.00875</v>
      </c>
      <c r="AC67" s="9">
        <v>177948.00125</v>
      </c>
      <c r="AD67" s="9"/>
      <c r="AE67" s="13">
        <f t="shared" si="22"/>
        <v>6129703.4850000003</v>
      </c>
      <c r="AF67" s="14">
        <f t="shared" si="23"/>
        <v>3576932.5150000006</v>
      </c>
      <c r="AG67" s="14">
        <f t="shared" si="24"/>
        <v>6129703.4849999994</v>
      </c>
      <c r="AH67" s="15">
        <f t="shared" si="25"/>
        <v>0.58354087171640745</v>
      </c>
      <c r="AI67" s="17">
        <f t="shared" si="13"/>
        <v>-8682474.4549999982</v>
      </c>
      <c r="AJ67" s="11">
        <f t="shared" si="14"/>
        <v>2</v>
      </c>
      <c r="AK67" s="1">
        <v>8</v>
      </c>
      <c r="AL67" t="s">
        <v>130</v>
      </c>
    </row>
    <row r="68" spans="1:38">
      <c r="A68" s="1">
        <v>8</v>
      </c>
      <c r="B68" t="s">
        <v>130</v>
      </c>
      <c r="C68" s="1" t="s">
        <v>139</v>
      </c>
      <c r="D68" t="s">
        <v>140</v>
      </c>
      <c r="E68" t="s">
        <v>3</v>
      </c>
      <c r="F68" s="2">
        <v>60443812.299999997</v>
      </c>
      <c r="G68" s="2">
        <v>53888834.630000003</v>
      </c>
      <c r="H68" s="2">
        <v>1.1200000000000001</v>
      </c>
      <c r="I68" s="2">
        <v>3212548</v>
      </c>
      <c r="J68" s="2">
        <v>490214.41</v>
      </c>
      <c r="K68" s="2">
        <v>44609296.909999989</v>
      </c>
      <c r="L68" s="2">
        <v>1004000.7</v>
      </c>
      <c r="M68" s="2">
        <v>4572774.6100000003</v>
      </c>
      <c r="N68" s="4">
        <f t="shared" si="15"/>
        <v>53888834.629999995</v>
      </c>
      <c r="O68" s="7">
        <v>26</v>
      </c>
      <c r="P68" s="7">
        <v>35</v>
      </c>
      <c r="Q68" s="7">
        <v>231</v>
      </c>
      <c r="R68" s="6">
        <v>134</v>
      </c>
      <c r="S68" s="16">
        <v>20101282.59375</v>
      </c>
      <c r="T68" s="10">
        <f t="shared" si="16"/>
        <v>3212548</v>
      </c>
      <c r="U68" s="10">
        <f t="shared" si="17"/>
        <v>490214.41</v>
      </c>
      <c r="V68" s="10">
        <f t="shared" si="18"/>
        <v>44609296.909999989</v>
      </c>
      <c r="W68" s="10">
        <f t="shared" si="19"/>
        <v>1004000.7</v>
      </c>
      <c r="X68" s="10">
        <f t="shared" si="20"/>
        <v>4572774.6100000003</v>
      </c>
      <c r="Y68" s="12">
        <f t="shared" si="21"/>
        <v>53888834.629999995</v>
      </c>
      <c r="Z68" s="9">
        <v>3116388.125</v>
      </c>
      <c r="AA68" s="9">
        <v>391346.99250000005</v>
      </c>
      <c r="AB68" s="9">
        <v>5737027.5112499995</v>
      </c>
      <c r="AC68" s="9">
        <v>148031.33750000002</v>
      </c>
      <c r="AD68" s="9"/>
      <c r="AE68" s="13">
        <f t="shared" si="22"/>
        <v>9392793.9662500005</v>
      </c>
      <c r="AF68" s="14">
        <f t="shared" si="23"/>
        <v>-13546304.923749998</v>
      </c>
      <c r="AG68" s="14">
        <f t="shared" si="24"/>
        <v>9392793.9662500098</v>
      </c>
      <c r="AH68" s="15">
        <f t="shared" si="25"/>
        <v>-1.4422018594706003</v>
      </c>
      <c r="AI68" s="17">
        <f t="shared" si="13"/>
        <v>-32331892.856250018</v>
      </c>
      <c r="AJ68" s="11">
        <f t="shared" si="14"/>
        <v>2</v>
      </c>
      <c r="AK68" s="1">
        <v>8</v>
      </c>
      <c r="AL68" t="s">
        <v>130</v>
      </c>
    </row>
    <row r="69" spans="1:38">
      <c r="A69" s="1">
        <v>8</v>
      </c>
      <c r="B69" t="s">
        <v>130</v>
      </c>
      <c r="C69" s="1" t="s">
        <v>141</v>
      </c>
      <c r="D69" t="s">
        <v>142</v>
      </c>
      <c r="E69" t="s">
        <v>3</v>
      </c>
      <c r="F69" s="2">
        <v>58913070.689999998</v>
      </c>
      <c r="G69" s="2">
        <v>30315217.789999999</v>
      </c>
      <c r="H69" s="2">
        <v>1.94</v>
      </c>
      <c r="I69" s="2">
        <v>3987270</v>
      </c>
      <c r="J69" s="2">
        <v>552125.61</v>
      </c>
      <c r="K69" s="2">
        <v>20252919.809999999</v>
      </c>
      <c r="L69" s="2">
        <v>1430539.7</v>
      </c>
      <c r="M69" s="2">
        <v>4092362.6700000004</v>
      </c>
      <c r="N69" s="4">
        <f t="shared" si="15"/>
        <v>30315217.789999999</v>
      </c>
      <c r="O69" s="7">
        <v>54</v>
      </c>
      <c r="P69" s="7">
        <v>62</v>
      </c>
      <c r="Q69" s="7">
        <v>147</v>
      </c>
      <c r="R69" s="6">
        <v>160</v>
      </c>
      <c r="S69" s="16">
        <v>14048136.348750003</v>
      </c>
      <c r="T69" s="10">
        <f t="shared" si="16"/>
        <v>3987270</v>
      </c>
      <c r="U69" s="10">
        <f t="shared" si="17"/>
        <v>552125.61</v>
      </c>
      <c r="V69" s="10">
        <f t="shared" si="18"/>
        <v>20252919.809999999</v>
      </c>
      <c r="W69" s="10">
        <f t="shared" si="19"/>
        <v>1430539.7</v>
      </c>
      <c r="X69" s="10">
        <f t="shared" si="20"/>
        <v>4092362.6700000004</v>
      </c>
      <c r="Y69" s="12">
        <f t="shared" si="21"/>
        <v>30315217.789999999</v>
      </c>
      <c r="Z69" s="9">
        <v>2228758</v>
      </c>
      <c r="AA69" s="9">
        <v>249138.38250000001</v>
      </c>
      <c r="AB69" s="9">
        <v>4313896.24125</v>
      </c>
      <c r="AC69" s="9">
        <v>182529.89749999999</v>
      </c>
      <c r="AD69" s="9"/>
      <c r="AE69" s="13">
        <f t="shared" si="22"/>
        <v>6974322.5212499993</v>
      </c>
      <c r="AF69" s="14">
        <f t="shared" si="23"/>
        <v>14549716.551249996</v>
      </c>
      <c r="AG69" s="14">
        <f t="shared" si="24"/>
        <v>6974322.5212500021</v>
      </c>
      <c r="AH69" s="15">
        <f t="shared" si="25"/>
        <v>2.0861834976685683</v>
      </c>
      <c r="AI69" s="17">
        <f t="shared" si="13"/>
        <v>601071.50874999259</v>
      </c>
      <c r="AJ69" s="11">
        <f t="shared" si="14"/>
        <v>2</v>
      </c>
      <c r="AK69" s="1">
        <v>8</v>
      </c>
      <c r="AL69" t="s">
        <v>130</v>
      </c>
    </row>
    <row r="70" spans="1:38">
      <c r="A70" s="1">
        <v>8</v>
      </c>
      <c r="B70" t="s">
        <v>130</v>
      </c>
      <c r="C70" s="1" t="s">
        <v>144</v>
      </c>
      <c r="D70" t="s">
        <v>145</v>
      </c>
      <c r="E70" t="s">
        <v>3</v>
      </c>
      <c r="F70" s="2">
        <v>32872617.100000001</v>
      </c>
      <c r="G70" s="2">
        <v>28546781.690000001</v>
      </c>
      <c r="H70" s="2">
        <v>1.1499999999999999</v>
      </c>
      <c r="I70" s="2">
        <v>2400970</v>
      </c>
      <c r="J70" s="2">
        <v>275110.90000000002</v>
      </c>
      <c r="K70" s="2">
        <v>18637763.399999999</v>
      </c>
      <c r="L70" s="2">
        <v>1126177.8399999999</v>
      </c>
      <c r="M70" s="2">
        <v>6106759.5500000007</v>
      </c>
      <c r="N70" s="4">
        <f t="shared" si="15"/>
        <v>28546781.689999998</v>
      </c>
      <c r="O70" s="7">
        <v>76</v>
      </c>
      <c r="P70" s="7">
        <v>38</v>
      </c>
      <c r="Q70" s="7">
        <v>187</v>
      </c>
      <c r="R70" s="6">
        <v>0</v>
      </c>
      <c r="S70" s="16">
        <v>12065416.612500001</v>
      </c>
      <c r="T70" s="10">
        <f t="shared" si="16"/>
        <v>2400970</v>
      </c>
      <c r="U70" s="10">
        <f t="shared" si="17"/>
        <v>275110.90000000002</v>
      </c>
      <c r="V70" s="10">
        <f t="shared" si="18"/>
        <v>18637763.399999999</v>
      </c>
      <c r="W70" s="10">
        <f t="shared" si="19"/>
        <v>1126177.8399999999</v>
      </c>
      <c r="X70" s="10">
        <f t="shared" si="20"/>
        <v>6106759.5500000007</v>
      </c>
      <c r="Y70" s="12">
        <f t="shared" si="21"/>
        <v>28546781.689999998</v>
      </c>
      <c r="Z70" s="9">
        <v>1254786.90625</v>
      </c>
      <c r="AA70" s="9">
        <v>194510.17749999999</v>
      </c>
      <c r="AB70" s="9">
        <v>3221770.0225</v>
      </c>
      <c r="AC70" s="9">
        <v>0</v>
      </c>
      <c r="AD70" s="9"/>
      <c r="AE70" s="13">
        <f t="shared" si="22"/>
        <v>4671067.1062500002</v>
      </c>
      <c r="AF70" s="14">
        <f t="shared" si="23"/>
        <v>-7739581.2024999969</v>
      </c>
      <c r="AG70" s="14">
        <f t="shared" si="24"/>
        <v>4671067.106250003</v>
      </c>
      <c r="AH70" s="15">
        <f t="shared" si="25"/>
        <v>-1.656919291984533</v>
      </c>
      <c r="AI70" s="17">
        <f t="shared" si="13"/>
        <v>-17081715.415000003</v>
      </c>
      <c r="AJ70" s="11">
        <f t="shared" si="14"/>
        <v>2</v>
      </c>
      <c r="AK70" s="1">
        <v>8</v>
      </c>
      <c r="AL70" t="s">
        <v>130</v>
      </c>
    </row>
    <row r="71" spans="1:38">
      <c r="A71" s="1">
        <v>8</v>
      </c>
      <c r="B71" t="s">
        <v>143</v>
      </c>
      <c r="C71" s="1" t="s">
        <v>146</v>
      </c>
      <c r="D71" t="s">
        <v>147</v>
      </c>
      <c r="E71" t="s">
        <v>2</v>
      </c>
      <c r="F71" s="2">
        <v>1322808853.54</v>
      </c>
      <c r="G71" s="2">
        <v>671149912.85000002</v>
      </c>
      <c r="H71" s="2">
        <v>1.97</v>
      </c>
      <c r="I71" s="2">
        <v>34693092</v>
      </c>
      <c r="J71" s="2">
        <v>5418825.4100000001</v>
      </c>
      <c r="K71" s="2">
        <v>493905338.06</v>
      </c>
      <c r="L71" s="2">
        <v>0</v>
      </c>
      <c r="M71" s="2">
        <v>137132657.38</v>
      </c>
      <c r="N71" s="4">
        <f t="shared" si="15"/>
        <v>671149912.85000002</v>
      </c>
      <c r="O71" s="7">
        <v>31</v>
      </c>
      <c r="P71" s="7">
        <v>35</v>
      </c>
      <c r="Q71" s="7">
        <v>80</v>
      </c>
      <c r="R71" s="6">
        <v>0</v>
      </c>
      <c r="S71" s="16">
        <v>274771035.95999998</v>
      </c>
      <c r="T71" s="10">
        <f t="shared" si="16"/>
        <v>34693092</v>
      </c>
      <c r="U71" s="10">
        <f t="shared" si="17"/>
        <v>5418825.4100000001</v>
      </c>
      <c r="V71" s="10">
        <f t="shared" si="18"/>
        <v>493905338.06</v>
      </c>
      <c r="W71" s="10">
        <f t="shared" si="19"/>
        <v>0</v>
      </c>
      <c r="X71" s="10">
        <f t="shared" si="20"/>
        <v>137132657.38</v>
      </c>
      <c r="Y71" s="12">
        <f t="shared" si="21"/>
        <v>671149912.85000002</v>
      </c>
      <c r="Z71" s="9">
        <v>31440690.875</v>
      </c>
      <c r="AA71" s="9">
        <v>5600610.5812499998</v>
      </c>
      <c r="AB71" s="9">
        <v>173389994.62625006</v>
      </c>
      <c r="AC71" s="9">
        <v>1315289.7412499997</v>
      </c>
      <c r="AD71" s="9"/>
      <c r="AE71" s="13">
        <f t="shared" si="22"/>
        <v>211746585.82375005</v>
      </c>
      <c r="AF71" s="14">
        <f t="shared" si="23"/>
        <v>376887904.7299999</v>
      </c>
      <c r="AG71" s="14">
        <f t="shared" si="24"/>
        <v>211746585.82375002</v>
      </c>
      <c r="AH71" s="15">
        <f t="shared" si="25"/>
        <v>1.7799007396686308</v>
      </c>
      <c r="AI71" s="17">
        <f t="shared" si="13"/>
        <v>-46605266.917500161</v>
      </c>
      <c r="AJ71" s="11">
        <f t="shared" si="14"/>
        <v>2</v>
      </c>
      <c r="AK71" s="1">
        <v>8</v>
      </c>
      <c r="AL71" t="s">
        <v>143</v>
      </c>
    </row>
    <row r="72" spans="1:38">
      <c r="A72" s="1">
        <v>8</v>
      </c>
      <c r="B72" t="s">
        <v>143</v>
      </c>
      <c r="C72" s="1" t="s">
        <v>148</v>
      </c>
      <c r="D72" t="s">
        <v>149</v>
      </c>
      <c r="E72" t="s">
        <v>3</v>
      </c>
      <c r="F72" s="2">
        <v>43484591.390000001</v>
      </c>
      <c r="G72" s="2">
        <v>44430013.490000002</v>
      </c>
      <c r="H72" s="2">
        <v>0.98</v>
      </c>
      <c r="I72" s="2">
        <v>3218170</v>
      </c>
      <c r="J72" s="2">
        <v>434837.16</v>
      </c>
      <c r="K72" s="2">
        <v>33631226.760000005</v>
      </c>
      <c r="L72" s="2">
        <v>2395310.4700000002</v>
      </c>
      <c r="M72" s="2">
        <v>4750469.1000000006</v>
      </c>
      <c r="N72" s="4">
        <f t="shared" si="15"/>
        <v>44430013.490000002</v>
      </c>
      <c r="O72" s="7">
        <v>80</v>
      </c>
      <c r="P72" s="7">
        <v>55</v>
      </c>
      <c r="Q72" s="7">
        <v>160</v>
      </c>
      <c r="R72" s="6">
        <v>232</v>
      </c>
      <c r="S72" s="16">
        <v>18909018.112499997</v>
      </c>
      <c r="T72" s="10">
        <f t="shared" si="16"/>
        <v>3218170</v>
      </c>
      <c r="U72" s="10">
        <f t="shared" si="17"/>
        <v>434837.16</v>
      </c>
      <c r="V72" s="10">
        <f t="shared" si="18"/>
        <v>33631226.760000005</v>
      </c>
      <c r="W72" s="10">
        <f t="shared" si="19"/>
        <v>2395310.4700000002</v>
      </c>
      <c r="X72" s="10">
        <f t="shared" si="20"/>
        <v>4750469.1000000006</v>
      </c>
      <c r="Y72" s="12">
        <f t="shared" si="21"/>
        <v>44430013.490000002</v>
      </c>
      <c r="Z72" s="9">
        <v>1746479.46875</v>
      </c>
      <c r="AA72" s="9">
        <v>341646.44374999998</v>
      </c>
      <c r="AB72" s="9">
        <v>5923001.0225</v>
      </c>
      <c r="AC72" s="9">
        <v>288813.9375</v>
      </c>
      <c r="AD72" s="9"/>
      <c r="AE72" s="13">
        <f t="shared" si="22"/>
        <v>8299940.8725000005</v>
      </c>
      <c r="AF72" s="14">
        <f t="shared" si="23"/>
        <v>-19854440.212499999</v>
      </c>
      <c r="AG72" s="14">
        <f t="shared" si="24"/>
        <v>8299940.8725000024</v>
      </c>
      <c r="AH72" s="15">
        <f t="shared" si="25"/>
        <v>-2.3921182713822993</v>
      </c>
      <c r="AI72" s="17">
        <f t="shared" si="13"/>
        <v>-36454321.957500003</v>
      </c>
      <c r="AJ72" s="11">
        <f t="shared" si="14"/>
        <v>2</v>
      </c>
      <c r="AK72" s="1">
        <v>8</v>
      </c>
      <c r="AL72" t="s">
        <v>143</v>
      </c>
    </row>
    <row r="73" spans="1:38">
      <c r="A73" s="1">
        <v>8</v>
      </c>
      <c r="B73" t="s">
        <v>143</v>
      </c>
      <c r="C73" s="1" t="s">
        <v>150</v>
      </c>
      <c r="D73" t="s">
        <v>151</v>
      </c>
      <c r="E73" t="s">
        <v>3</v>
      </c>
      <c r="F73" s="2">
        <v>40478025.469999999</v>
      </c>
      <c r="G73" s="2">
        <v>31020795.469999999</v>
      </c>
      <c r="H73" s="2">
        <v>1.3</v>
      </c>
      <c r="I73" s="2">
        <v>3553920</v>
      </c>
      <c r="J73" s="2">
        <v>291798.55</v>
      </c>
      <c r="K73" s="2">
        <v>24069265.309999999</v>
      </c>
      <c r="L73" s="2">
        <v>1717478</v>
      </c>
      <c r="M73" s="2">
        <v>1388333.61</v>
      </c>
      <c r="N73" s="4">
        <f t="shared" si="15"/>
        <v>31020795.469999999</v>
      </c>
      <c r="O73" s="7">
        <v>47</v>
      </c>
      <c r="P73" s="7">
        <v>55</v>
      </c>
      <c r="Q73" s="7">
        <v>159</v>
      </c>
      <c r="R73" s="6">
        <v>183</v>
      </c>
      <c r="S73" s="16">
        <v>17739279.464999996</v>
      </c>
      <c r="T73" s="10">
        <f t="shared" si="16"/>
        <v>3553920</v>
      </c>
      <c r="U73" s="10">
        <f t="shared" si="17"/>
        <v>291798.55</v>
      </c>
      <c r="V73" s="10">
        <f t="shared" si="18"/>
        <v>24069265.309999999</v>
      </c>
      <c r="W73" s="10">
        <f t="shared" si="19"/>
        <v>1717478</v>
      </c>
      <c r="X73" s="10">
        <f t="shared" si="20"/>
        <v>1388333.61</v>
      </c>
      <c r="Y73" s="12">
        <f t="shared" si="21"/>
        <v>31020795.469999999</v>
      </c>
      <c r="Z73" s="9">
        <v>2000697.5</v>
      </c>
      <c r="AA73" s="9">
        <v>219985.10125000001</v>
      </c>
      <c r="AB73" s="9">
        <v>4605023.6774999993</v>
      </c>
      <c r="AC73" s="9">
        <v>259046.25</v>
      </c>
      <c r="AD73" s="9"/>
      <c r="AE73" s="13">
        <f t="shared" si="22"/>
        <v>7084752.5287499987</v>
      </c>
      <c r="AF73" s="14">
        <f t="shared" si="23"/>
        <v>-8282049.4649999961</v>
      </c>
      <c r="AG73" s="14">
        <f t="shared" si="24"/>
        <v>7084752.5287500024</v>
      </c>
      <c r="AH73" s="15">
        <f t="shared" si="25"/>
        <v>-1.1689962961149807</v>
      </c>
      <c r="AI73" s="17">
        <f t="shared" si="13"/>
        <v>-22451554.522500001</v>
      </c>
      <c r="AJ73" s="11">
        <f t="shared" si="14"/>
        <v>2</v>
      </c>
      <c r="AK73" s="1">
        <v>8</v>
      </c>
      <c r="AL73" t="s">
        <v>143</v>
      </c>
    </row>
    <row r="74" spans="1:38">
      <c r="A74" s="1">
        <v>8</v>
      </c>
      <c r="B74" t="s">
        <v>143</v>
      </c>
      <c r="C74" s="1" t="s">
        <v>152</v>
      </c>
      <c r="D74" t="s">
        <v>153</v>
      </c>
      <c r="E74" t="s">
        <v>4</v>
      </c>
      <c r="F74" s="2">
        <v>159950021.22</v>
      </c>
      <c r="G74" s="2">
        <v>111855274.3</v>
      </c>
      <c r="H74" s="2">
        <v>1.43</v>
      </c>
      <c r="I74" s="2">
        <v>9667998.1400000006</v>
      </c>
      <c r="J74" s="2">
        <v>2971458.86</v>
      </c>
      <c r="K74" s="2">
        <v>85132599.720000014</v>
      </c>
      <c r="L74" s="2">
        <v>2831857.46</v>
      </c>
      <c r="M74" s="2">
        <v>11251360.119999999</v>
      </c>
      <c r="N74" s="4">
        <f t="shared" si="15"/>
        <v>111855274.30000001</v>
      </c>
      <c r="O74" s="7">
        <v>40</v>
      </c>
      <c r="P74" s="7">
        <v>58</v>
      </c>
      <c r="Q74" s="7">
        <v>134</v>
      </c>
      <c r="R74" s="6">
        <v>341</v>
      </c>
      <c r="S74" s="16">
        <v>56321181.041249983</v>
      </c>
      <c r="T74" s="10">
        <f t="shared" si="16"/>
        <v>9667998.1400000006</v>
      </c>
      <c r="U74" s="10">
        <f t="shared" si="17"/>
        <v>2971458.86</v>
      </c>
      <c r="V74" s="10">
        <f t="shared" si="18"/>
        <v>85132599.720000014</v>
      </c>
      <c r="W74" s="10">
        <f t="shared" si="19"/>
        <v>2831857.46</v>
      </c>
      <c r="X74" s="10">
        <f t="shared" si="20"/>
        <v>11251360.119999999</v>
      </c>
      <c r="Y74" s="12">
        <f t="shared" si="21"/>
        <v>111855274.30000001</v>
      </c>
      <c r="Z74" s="9">
        <v>7656368.6225000005</v>
      </c>
      <c r="AA74" s="9">
        <v>1586840.6537500001</v>
      </c>
      <c r="AB74" s="9">
        <v>24804852.876249995</v>
      </c>
      <c r="AC74" s="9">
        <v>223547.625</v>
      </c>
      <c r="AD74" s="9"/>
      <c r="AE74" s="13">
        <f t="shared" si="22"/>
        <v>34271609.777499996</v>
      </c>
      <c r="AF74" s="14">
        <f t="shared" si="23"/>
        <v>-8226434.1212500036</v>
      </c>
      <c r="AG74" s="14">
        <f t="shared" si="24"/>
        <v>34271609.777499974</v>
      </c>
      <c r="AH74" s="15">
        <f t="shared" si="25"/>
        <v>-0.24003640840503584</v>
      </c>
      <c r="AI74" s="17">
        <f t="shared" si="13"/>
        <v>-76769653.676249951</v>
      </c>
      <c r="AJ74" s="11">
        <f t="shared" si="14"/>
        <v>2</v>
      </c>
      <c r="AK74" s="1">
        <v>8</v>
      </c>
      <c r="AL74" t="s">
        <v>143</v>
      </c>
    </row>
    <row r="75" spans="1:38">
      <c r="A75" s="1">
        <v>8</v>
      </c>
      <c r="B75" t="s">
        <v>143</v>
      </c>
      <c r="C75" s="1" t="s">
        <v>154</v>
      </c>
      <c r="D75" t="s">
        <v>155</v>
      </c>
      <c r="E75" t="s">
        <v>3</v>
      </c>
      <c r="F75" s="2">
        <v>47410551.039999999</v>
      </c>
      <c r="G75" s="2">
        <v>10275950.029999999</v>
      </c>
      <c r="H75" s="2">
        <v>4.6100000000000003</v>
      </c>
      <c r="I75" s="2">
        <v>510405</v>
      </c>
      <c r="J75" s="2">
        <v>191193.7</v>
      </c>
      <c r="K75" s="2">
        <v>7971177.7300000004</v>
      </c>
      <c r="L75" s="2">
        <v>496330</v>
      </c>
      <c r="M75" s="2">
        <v>1106843.5999999999</v>
      </c>
      <c r="N75" s="4">
        <f t="shared" si="15"/>
        <v>10275950.029999999</v>
      </c>
      <c r="O75" s="7">
        <v>57</v>
      </c>
      <c r="P75" s="7">
        <v>90</v>
      </c>
      <c r="Q75" s="7">
        <v>125</v>
      </c>
      <c r="R75" s="6">
        <v>548</v>
      </c>
      <c r="S75" s="16">
        <v>5846026.9237500001</v>
      </c>
      <c r="T75" s="10">
        <f t="shared" si="16"/>
        <v>510405</v>
      </c>
      <c r="U75" s="10">
        <f t="shared" si="17"/>
        <v>191193.7</v>
      </c>
      <c r="V75" s="10">
        <f t="shared" si="18"/>
        <v>7971177.7300000004</v>
      </c>
      <c r="W75" s="10">
        <f t="shared" si="19"/>
        <v>496330</v>
      </c>
      <c r="X75" s="10">
        <f t="shared" si="20"/>
        <v>1106843.5999999999</v>
      </c>
      <c r="Y75" s="12">
        <f t="shared" si="21"/>
        <v>10275950.029999999</v>
      </c>
      <c r="Z75" s="9">
        <v>440723.75</v>
      </c>
      <c r="AA75" s="9">
        <v>83451.377500000002</v>
      </c>
      <c r="AB75" s="9">
        <v>1835888.3975</v>
      </c>
      <c r="AC75" s="9">
        <v>27796.25</v>
      </c>
      <c r="AD75" s="9"/>
      <c r="AE75" s="13">
        <f t="shared" si="22"/>
        <v>2387859.7749999999</v>
      </c>
      <c r="AF75" s="14">
        <f t="shared" si="23"/>
        <v>31288574.08625</v>
      </c>
      <c r="AG75" s="14">
        <f t="shared" si="24"/>
        <v>2387859.7750000004</v>
      </c>
      <c r="AH75" s="15">
        <f t="shared" si="25"/>
        <v>13.103187387228379</v>
      </c>
      <c r="AI75" s="17">
        <f t="shared" si="13"/>
        <v>26512854.536249999</v>
      </c>
      <c r="AJ75" s="11">
        <f t="shared" si="14"/>
        <v>2</v>
      </c>
      <c r="AK75" s="1">
        <v>8</v>
      </c>
      <c r="AL75" t="s">
        <v>143</v>
      </c>
    </row>
    <row r="76" spans="1:38">
      <c r="A76" s="1">
        <v>8</v>
      </c>
      <c r="B76" t="s">
        <v>143</v>
      </c>
      <c r="C76" s="1" t="s">
        <v>156</v>
      </c>
      <c r="D76" t="s">
        <v>157</v>
      </c>
      <c r="E76" t="s">
        <v>3</v>
      </c>
      <c r="F76" s="2">
        <v>19007798.460000001</v>
      </c>
      <c r="G76" s="2">
        <v>22004909.98</v>
      </c>
      <c r="H76" s="2">
        <v>0.86</v>
      </c>
      <c r="I76" s="2">
        <v>2009897.5</v>
      </c>
      <c r="J76" s="2">
        <v>292948.88</v>
      </c>
      <c r="K76" s="2">
        <v>17059313.559999999</v>
      </c>
      <c r="L76" s="2">
        <v>945345</v>
      </c>
      <c r="M76" s="2">
        <v>1697405.04</v>
      </c>
      <c r="N76" s="4">
        <f t="shared" si="15"/>
        <v>22004909.979999997</v>
      </c>
      <c r="O76" s="7">
        <v>45</v>
      </c>
      <c r="P76" s="7">
        <v>50</v>
      </c>
      <c r="Q76" s="7">
        <v>123</v>
      </c>
      <c r="R76" s="6">
        <v>262</v>
      </c>
      <c r="S76" s="16">
        <v>14412115.488750003</v>
      </c>
      <c r="T76" s="10">
        <f t="shared" si="16"/>
        <v>2009897.5</v>
      </c>
      <c r="U76" s="10">
        <f t="shared" si="17"/>
        <v>292948.88</v>
      </c>
      <c r="V76" s="10">
        <f t="shared" si="18"/>
        <v>17059313.559999999</v>
      </c>
      <c r="W76" s="10">
        <f t="shared" si="19"/>
        <v>945345</v>
      </c>
      <c r="X76" s="10">
        <f t="shared" si="20"/>
        <v>1697405.04</v>
      </c>
      <c r="Y76" s="12">
        <f t="shared" si="21"/>
        <v>22004909.979999997</v>
      </c>
      <c r="Z76" s="9">
        <v>1500454.3125</v>
      </c>
      <c r="AA76" s="9">
        <v>250408.99750000003</v>
      </c>
      <c r="AB76" s="9">
        <v>4207347.4562499998</v>
      </c>
      <c r="AC76" s="9">
        <v>156476.875</v>
      </c>
      <c r="AD76" s="9"/>
      <c r="AE76" s="13">
        <f t="shared" si="22"/>
        <v>6114687.6412499994</v>
      </c>
      <c r="AF76" s="14">
        <f t="shared" si="23"/>
        <v>-17409227.008749999</v>
      </c>
      <c r="AG76" s="14">
        <f t="shared" si="24"/>
        <v>6114687.6412500031</v>
      </c>
      <c r="AH76" s="15">
        <f t="shared" si="25"/>
        <v>-2.8471163255022942</v>
      </c>
      <c r="AI76" s="17">
        <f t="shared" si="13"/>
        <v>-29638602.291250005</v>
      </c>
      <c r="AJ76" s="11">
        <f t="shared" si="14"/>
        <v>2</v>
      </c>
      <c r="AK76" s="1">
        <v>8</v>
      </c>
      <c r="AL76" t="s">
        <v>143</v>
      </c>
    </row>
    <row r="77" spans="1:38">
      <c r="A77" s="1">
        <v>8</v>
      </c>
      <c r="B77" t="s">
        <v>143</v>
      </c>
      <c r="C77" s="1" t="s">
        <v>158</v>
      </c>
      <c r="D77" t="s">
        <v>159</v>
      </c>
      <c r="E77" t="s">
        <v>3</v>
      </c>
      <c r="F77" s="2">
        <v>85537869.969999999</v>
      </c>
      <c r="G77" s="2">
        <v>75822934.010000005</v>
      </c>
      <c r="H77" s="2">
        <v>1.1299999999999999</v>
      </c>
      <c r="I77" s="2">
        <v>4009100</v>
      </c>
      <c r="J77" s="2">
        <v>938108.89</v>
      </c>
      <c r="K77" s="2">
        <v>50486606.369999997</v>
      </c>
      <c r="L77" s="2">
        <v>5163117.3099999996</v>
      </c>
      <c r="M77" s="2">
        <v>15226001.439999999</v>
      </c>
      <c r="N77" s="4">
        <f t="shared" si="15"/>
        <v>75822934.010000005</v>
      </c>
      <c r="O77" s="7">
        <v>35</v>
      </c>
      <c r="P77" s="7">
        <v>66</v>
      </c>
      <c r="Q77" s="7">
        <v>169</v>
      </c>
      <c r="R77" s="6">
        <v>580</v>
      </c>
      <c r="S77" s="16">
        <v>32063244.65625</v>
      </c>
      <c r="T77" s="10">
        <f t="shared" si="16"/>
        <v>4009100</v>
      </c>
      <c r="U77" s="10">
        <f t="shared" si="17"/>
        <v>938108.89</v>
      </c>
      <c r="V77" s="10">
        <f t="shared" si="18"/>
        <v>50486606.369999997</v>
      </c>
      <c r="W77" s="10">
        <f t="shared" si="19"/>
        <v>5163117.3099999996</v>
      </c>
      <c r="X77" s="10">
        <f t="shared" si="20"/>
        <v>15226001.439999999</v>
      </c>
      <c r="Y77" s="12">
        <f t="shared" si="21"/>
        <v>75822934.010000005</v>
      </c>
      <c r="Z77" s="9">
        <v>4092675</v>
      </c>
      <c r="AA77" s="9">
        <v>693594.05125000002</v>
      </c>
      <c r="AB77" s="9">
        <v>11130198.715</v>
      </c>
      <c r="AC77" s="9">
        <v>257146.41250000001</v>
      </c>
      <c r="AD77" s="9"/>
      <c r="AE77" s="13">
        <f t="shared" si="22"/>
        <v>16173614.178749999</v>
      </c>
      <c r="AF77" s="14">
        <f t="shared" si="23"/>
        <v>-22348308.696250007</v>
      </c>
      <c r="AG77" s="14">
        <f t="shared" si="24"/>
        <v>16173614.178749993</v>
      </c>
      <c r="AH77" s="15">
        <f t="shared" si="25"/>
        <v>-1.3817758015776556</v>
      </c>
      <c r="AI77" s="17">
        <f t="shared" si="13"/>
        <v>-54695537.053749993</v>
      </c>
      <c r="AJ77" s="11">
        <f t="shared" si="14"/>
        <v>2</v>
      </c>
      <c r="AK77" s="1">
        <v>8</v>
      </c>
      <c r="AL77" t="s">
        <v>143</v>
      </c>
    </row>
    <row r="78" spans="1:38">
      <c r="A78" s="1">
        <v>8</v>
      </c>
      <c r="B78" t="s">
        <v>143</v>
      </c>
      <c r="C78" s="1" t="s">
        <v>160</v>
      </c>
      <c r="D78" t="s">
        <v>161</v>
      </c>
      <c r="E78" t="s">
        <v>3</v>
      </c>
      <c r="F78" s="2">
        <v>21114761.940000001</v>
      </c>
      <c r="G78" s="2">
        <v>16597198.85</v>
      </c>
      <c r="H78" s="2">
        <v>1.27</v>
      </c>
      <c r="I78" s="2">
        <v>2116870</v>
      </c>
      <c r="J78" s="2">
        <v>207561.09</v>
      </c>
      <c r="K78" s="2">
        <v>10391666.499999998</v>
      </c>
      <c r="L78" s="2">
        <v>382506.5</v>
      </c>
      <c r="M78" s="2">
        <v>3498594.7600000002</v>
      </c>
      <c r="N78" s="4">
        <f t="shared" si="15"/>
        <v>16597198.849999998</v>
      </c>
      <c r="O78" s="7">
        <v>51</v>
      </c>
      <c r="P78" s="7">
        <v>68</v>
      </c>
      <c r="Q78" s="7">
        <v>113</v>
      </c>
      <c r="R78" s="6">
        <v>74</v>
      </c>
      <c r="S78" s="16">
        <v>8528300.7787499987</v>
      </c>
      <c r="T78" s="10">
        <f t="shared" si="16"/>
        <v>2116870</v>
      </c>
      <c r="U78" s="10">
        <f t="shared" si="17"/>
        <v>207561.09</v>
      </c>
      <c r="V78" s="10">
        <f t="shared" si="18"/>
        <v>10391666.499999998</v>
      </c>
      <c r="W78" s="10">
        <f t="shared" si="19"/>
        <v>382506.5</v>
      </c>
      <c r="X78" s="10">
        <f t="shared" si="20"/>
        <v>3498594.7600000002</v>
      </c>
      <c r="Y78" s="12">
        <f t="shared" si="21"/>
        <v>16597198.849999998</v>
      </c>
      <c r="Z78" s="9">
        <v>1054193.375</v>
      </c>
      <c r="AA78" s="9">
        <v>183080.88874999998</v>
      </c>
      <c r="AB78" s="9">
        <v>2611877.1849999996</v>
      </c>
      <c r="AC78" s="9">
        <v>144449.9375</v>
      </c>
      <c r="AD78" s="9"/>
      <c r="AE78" s="13">
        <f t="shared" si="22"/>
        <v>3993601.3862499995</v>
      </c>
      <c r="AF78" s="14">
        <f t="shared" si="23"/>
        <v>-4010737.6887499951</v>
      </c>
      <c r="AG78" s="14">
        <f t="shared" si="24"/>
        <v>3993601.3862500004</v>
      </c>
      <c r="AH78" s="15">
        <f t="shared" si="25"/>
        <v>-1.004290939641346</v>
      </c>
      <c r="AI78" s="17">
        <f t="shared" si="13"/>
        <v>-11997940.461249996</v>
      </c>
      <c r="AJ78" s="11">
        <f t="shared" si="14"/>
        <v>2</v>
      </c>
      <c r="AK78" s="1">
        <v>8</v>
      </c>
      <c r="AL78" t="s">
        <v>143</v>
      </c>
    </row>
    <row r="79" spans="1:38">
      <c r="A79" s="1">
        <v>8</v>
      </c>
      <c r="B79" t="s">
        <v>143</v>
      </c>
      <c r="C79" s="1" t="s">
        <v>162</v>
      </c>
      <c r="D79" t="s">
        <v>163</v>
      </c>
      <c r="E79" t="s">
        <v>3</v>
      </c>
      <c r="F79" s="2">
        <v>10984688.119999999</v>
      </c>
      <c r="G79" s="2">
        <v>18301899.120000001</v>
      </c>
      <c r="H79" s="2">
        <v>0.6</v>
      </c>
      <c r="I79" s="2">
        <v>994577</v>
      </c>
      <c r="J79" s="2">
        <v>518771.56</v>
      </c>
      <c r="K79" s="2">
        <v>16111198.189999999</v>
      </c>
      <c r="L79" s="2">
        <v>0</v>
      </c>
      <c r="M79" s="2">
        <v>677352.37</v>
      </c>
      <c r="N79" s="4">
        <f t="shared" si="15"/>
        <v>18301899.120000001</v>
      </c>
      <c r="O79" s="7">
        <v>26</v>
      </c>
      <c r="P79" s="7">
        <v>65</v>
      </c>
      <c r="Q79" s="7">
        <v>173</v>
      </c>
      <c r="R79" s="6">
        <v>0</v>
      </c>
      <c r="S79" s="16">
        <v>9461654.2349999994</v>
      </c>
      <c r="T79" s="10">
        <f t="shared" si="16"/>
        <v>994577</v>
      </c>
      <c r="U79" s="10">
        <f t="shared" si="17"/>
        <v>518771.56</v>
      </c>
      <c r="V79" s="10">
        <f t="shared" si="18"/>
        <v>16111198.189999999</v>
      </c>
      <c r="W79" s="10">
        <f t="shared" si="19"/>
        <v>0</v>
      </c>
      <c r="X79" s="10">
        <f t="shared" si="20"/>
        <v>677352.37</v>
      </c>
      <c r="Y79" s="12">
        <f t="shared" si="21"/>
        <v>18301899.120000001</v>
      </c>
      <c r="Z79" s="9">
        <v>940747.5</v>
      </c>
      <c r="AA79" s="9">
        <v>162431.22750000001</v>
      </c>
      <c r="AB79" s="9">
        <v>2973053.46875</v>
      </c>
      <c r="AC79" s="9">
        <v>11.25</v>
      </c>
      <c r="AD79" s="9"/>
      <c r="AE79" s="13">
        <f t="shared" si="22"/>
        <v>4076243.44625</v>
      </c>
      <c r="AF79" s="14">
        <f t="shared" si="23"/>
        <v>-16778865.234999999</v>
      </c>
      <c r="AG79" s="14">
        <f t="shared" si="24"/>
        <v>4076243.4462499991</v>
      </c>
      <c r="AH79" s="15">
        <f t="shared" si="25"/>
        <v>-4.1162569057144927</v>
      </c>
      <c r="AI79" s="17">
        <f t="shared" si="13"/>
        <v>-24931352.127499998</v>
      </c>
      <c r="AJ79" s="11">
        <f t="shared" si="14"/>
        <v>2</v>
      </c>
      <c r="AK79" s="1">
        <v>8</v>
      </c>
      <c r="AL79" t="s">
        <v>143</v>
      </c>
    </row>
    <row r="80" spans="1:38">
      <c r="A80" s="1">
        <v>8</v>
      </c>
      <c r="B80" t="s">
        <v>143</v>
      </c>
      <c r="C80" s="1" t="s">
        <v>164</v>
      </c>
      <c r="D80" t="s">
        <v>165</v>
      </c>
      <c r="E80" t="s">
        <v>3</v>
      </c>
      <c r="F80" s="2">
        <v>55466661.82</v>
      </c>
      <c r="G80" s="2">
        <v>21228269.699999999</v>
      </c>
      <c r="H80" s="2">
        <v>2.61</v>
      </c>
      <c r="I80" s="2">
        <v>2987497.87</v>
      </c>
      <c r="J80" s="2">
        <v>223020.99</v>
      </c>
      <c r="K80" s="2">
        <v>9749433.5899999999</v>
      </c>
      <c r="L80" s="2">
        <v>2450366.64</v>
      </c>
      <c r="M80" s="2">
        <v>5817950.6100000003</v>
      </c>
      <c r="N80" s="4">
        <f t="shared" si="15"/>
        <v>21228269.699999999</v>
      </c>
      <c r="O80" s="7">
        <v>47</v>
      </c>
      <c r="P80" s="7">
        <v>69</v>
      </c>
      <c r="Q80" s="7">
        <v>82</v>
      </c>
      <c r="R80" s="6">
        <v>334</v>
      </c>
      <c r="S80" s="16">
        <v>11252372.186250001</v>
      </c>
      <c r="T80" s="10">
        <f t="shared" si="16"/>
        <v>2987497.87</v>
      </c>
      <c r="U80" s="10">
        <f t="shared" si="17"/>
        <v>223020.99</v>
      </c>
      <c r="V80" s="10">
        <f t="shared" si="18"/>
        <v>9749433.5899999999</v>
      </c>
      <c r="W80" s="10">
        <f t="shared" si="19"/>
        <v>2450366.64</v>
      </c>
      <c r="X80" s="10">
        <f t="shared" si="20"/>
        <v>5817950.6100000003</v>
      </c>
      <c r="Y80" s="12">
        <f t="shared" si="21"/>
        <v>21228269.699999999</v>
      </c>
      <c r="Z80" s="9">
        <v>1669244.9662500001</v>
      </c>
      <c r="AA80" s="9">
        <v>184314.4425</v>
      </c>
      <c r="AB80" s="9">
        <v>3291046.9449999998</v>
      </c>
      <c r="AC80" s="9">
        <v>207837.875</v>
      </c>
      <c r="AD80" s="9"/>
      <c r="AE80" s="13">
        <f t="shared" si="22"/>
        <v>5352444.2287499998</v>
      </c>
      <c r="AF80" s="14">
        <f t="shared" si="23"/>
        <v>22986019.93375</v>
      </c>
      <c r="AG80" s="14">
        <f t="shared" si="24"/>
        <v>5352444.2287500016</v>
      </c>
      <c r="AH80" s="15">
        <f t="shared" si="25"/>
        <v>4.2944903209422334</v>
      </c>
      <c r="AI80" s="17">
        <f t="shared" si="13"/>
        <v>12281131.476249997</v>
      </c>
      <c r="AJ80" s="11">
        <f t="shared" si="14"/>
        <v>2</v>
      </c>
      <c r="AK80" s="1">
        <v>8</v>
      </c>
      <c r="AL80" t="s">
        <v>143</v>
      </c>
    </row>
    <row r="81" spans="1:38">
      <c r="A81" s="1">
        <v>8</v>
      </c>
      <c r="B81" t="s">
        <v>143</v>
      </c>
      <c r="C81" s="1" t="s">
        <v>166</v>
      </c>
      <c r="D81" t="s">
        <v>167</v>
      </c>
      <c r="E81" t="s">
        <v>3</v>
      </c>
      <c r="F81" s="2">
        <v>49936958.829999998</v>
      </c>
      <c r="G81" s="2">
        <v>29246442.460000001</v>
      </c>
      <c r="H81" s="2">
        <v>1.71</v>
      </c>
      <c r="I81" s="2">
        <v>2040060.5</v>
      </c>
      <c r="J81" s="2">
        <v>190770.54</v>
      </c>
      <c r="K81" s="2">
        <v>20893326.890000001</v>
      </c>
      <c r="L81" s="2">
        <v>1867891.55</v>
      </c>
      <c r="M81" s="2">
        <v>4254392.9800000004</v>
      </c>
      <c r="N81" s="4">
        <f t="shared" si="15"/>
        <v>29246442.460000001</v>
      </c>
      <c r="O81" s="7">
        <v>51</v>
      </c>
      <c r="P81" s="7">
        <v>31</v>
      </c>
      <c r="Q81" s="7">
        <v>122</v>
      </c>
      <c r="R81" s="6">
        <v>593</v>
      </c>
      <c r="S81" s="16">
        <v>14341222.346249998</v>
      </c>
      <c r="T81" s="10">
        <f t="shared" si="16"/>
        <v>2040060.5</v>
      </c>
      <c r="U81" s="10">
        <f t="shared" si="17"/>
        <v>190770.54</v>
      </c>
      <c r="V81" s="10">
        <f t="shared" si="18"/>
        <v>20893326.890000001</v>
      </c>
      <c r="W81" s="10">
        <f t="shared" si="19"/>
        <v>1867891.55</v>
      </c>
      <c r="X81" s="10">
        <f t="shared" si="20"/>
        <v>4254392.9800000004</v>
      </c>
      <c r="Y81" s="12">
        <f t="shared" si="21"/>
        <v>29246442.460000001</v>
      </c>
      <c r="Z81" s="9">
        <v>1386583.8125</v>
      </c>
      <c r="AA81" s="9">
        <v>236633.88</v>
      </c>
      <c r="AB81" s="9">
        <v>5696045.1025</v>
      </c>
      <c r="AC81" s="9">
        <v>118665.77499999999</v>
      </c>
      <c r="AD81" s="9"/>
      <c r="AE81" s="13">
        <f t="shared" si="22"/>
        <v>7437928.5700000003</v>
      </c>
      <c r="AF81" s="14">
        <f t="shared" si="23"/>
        <v>6349294.0237499997</v>
      </c>
      <c r="AG81" s="14">
        <f t="shared" si="24"/>
        <v>7437928.5700000003</v>
      </c>
      <c r="AH81" s="15">
        <f t="shared" si="25"/>
        <v>0.85363740240248087</v>
      </c>
      <c r="AI81" s="17">
        <f t="shared" si="13"/>
        <v>-8526563.1162500009</v>
      </c>
      <c r="AJ81" s="11">
        <f t="shared" si="14"/>
        <v>2</v>
      </c>
      <c r="AK81" s="1">
        <v>8</v>
      </c>
      <c r="AL81" t="s">
        <v>143</v>
      </c>
    </row>
    <row r="82" spans="1:38">
      <c r="A82" s="1">
        <v>8</v>
      </c>
      <c r="B82" t="s">
        <v>143</v>
      </c>
      <c r="C82" s="1" t="s">
        <v>168</v>
      </c>
      <c r="D82" t="s">
        <v>169</v>
      </c>
      <c r="E82" t="s">
        <v>3</v>
      </c>
      <c r="F82" s="2">
        <v>90153732.379999995</v>
      </c>
      <c r="G82" s="2">
        <v>73162619.109999999</v>
      </c>
      <c r="H82" s="2">
        <v>1.23</v>
      </c>
      <c r="I82" s="2">
        <v>8645882</v>
      </c>
      <c r="J82" s="2">
        <v>1265316.21</v>
      </c>
      <c r="K82" s="2">
        <v>46273374.590000004</v>
      </c>
      <c r="L82" s="2">
        <v>1887236.38</v>
      </c>
      <c r="M82" s="2">
        <v>15090809.930000002</v>
      </c>
      <c r="N82" s="4">
        <f t="shared" si="15"/>
        <v>73162619.110000014</v>
      </c>
      <c r="O82" s="7">
        <v>49</v>
      </c>
      <c r="P82" s="7">
        <v>66</v>
      </c>
      <c r="Q82" s="7">
        <v>131</v>
      </c>
      <c r="R82" s="6">
        <v>181</v>
      </c>
      <c r="S82" s="16">
        <v>33280117.155000001</v>
      </c>
      <c r="T82" s="10">
        <f t="shared" si="16"/>
        <v>8645882</v>
      </c>
      <c r="U82" s="10">
        <f t="shared" si="17"/>
        <v>1265316.21</v>
      </c>
      <c r="V82" s="10">
        <f t="shared" si="18"/>
        <v>46273374.590000004</v>
      </c>
      <c r="W82" s="10">
        <f t="shared" si="19"/>
        <v>1887236.38</v>
      </c>
      <c r="X82" s="10">
        <f t="shared" si="20"/>
        <v>15090809.930000002</v>
      </c>
      <c r="Y82" s="12">
        <f t="shared" si="21"/>
        <v>73162619.110000014</v>
      </c>
      <c r="Z82" s="9">
        <v>3783724.9375</v>
      </c>
      <c r="AA82" s="9">
        <v>568028.61499999999</v>
      </c>
      <c r="AB82" s="9">
        <v>10946944.90625</v>
      </c>
      <c r="AC82" s="9">
        <v>266141.23499999999</v>
      </c>
      <c r="AD82" s="9"/>
      <c r="AE82" s="13">
        <f t="shared" si="22"/>
        <v>15564839.69375</v>
      </c>
      <c r="AF82" s="14">
        <f t="shared" si="23"/>
        <v>-16289003.88500002</v>
      </c>
      <c r="AG82" s="14">
        <f t="shared" si="24"/>
        <v>15564839.693749979</v>
      </c>
      <c r="AH82" s="15">
        <f t="shared" si="25"/>
        <v>-1.0465256440476434</v>
      </c>
      <c r="AI82" s="17">
        <f t="shared" si="13"/>
        <v>-47418683.272499986</v>
      </c>
      <c r="AJ82" s="11">
        <f t="shared" si="14"/>
        <v>2.0000000000000004</v>
      </c>
      <c r="AK82" s="1">
        <v>8</v>
      </c>
      <c r="AL82" t="s">
        <v>143</v>
      </c>
    </row>
    <row r="83" spans="1:38">
      <c r="A83" s="1">
        <v>8</v>
      </c>
      <c r="B83" t="s">
        <v>143</v>
      </c>
      <c r="C83" s="1" t="s">
        <v>170</v>
      </c>
      <c r="D83" t="s">
        <v>171</v>
      </c>
      <c r="E83" t="s">
        <v>3</v>
      </c>
      <c r="F83" s="2">
        <v>86451842.469999999</v>
      </c>
      <c r="G83" s="2">
        <v>37214350.619999997</v>
      </c>
      <c r="H83" s="2">
        <v>2.3199999999999998</v>
      </c>
      <c r="I83" s="2">
        <v>2378723</v>
      </c>
      <c r="J83" s="2">
        <v>264985.11</v>
      </c>
      <c r="K83" s="2">
        <v>24212190.580000002</v>
      </c>
      <c r="L83" s="2">
        <v>1434025.48</v>
      </c>
      <c r="M83" s="2">
        <v>8924426.4499999993</v>
      </c>
      <c r="N83" s="4">
        <f t="shared" si="15"/>
        <v>37214350.620000005</v>
      </c>
      <c r="O83" s="7">
        <v>24</v>
      </c>
      <c r="P83" s="7">
        <v>41</v>
      </c>
      <c r="Q83" s="7">
        <v>175</v>
      </c>
      <c r="R83" s="6">
        <v>246</v>
      </c>
      <c r="S83" s="16">
        <v>15389059.968750004</v>
      </c>
      <c r="T83" s="10">
        <f t="shared" si="16"/>
        <v>2378723</v>
      </c>
      <c r="U83" s="10">
        <f t="shared" si="17"/>
        <v>264985.11</v>
      </c>
      <c r="V83" s="10">
        <f t="shared" si="18"/>
        <v>24212190.580000002</v>
      </c>
      <c r="W83" s="10">
        <f t="shared" si="19"/>
        <v>1434025.48</v>
      </c>
      <c r="X83" s="10">
        <f t="shared" si="20"/>
        <v>8924426.4499999993</v>
      </c>
      <c r="Y83" s="12">
        <f t="shared" si="21"/>
        <v>37214350.620000005</v>
      </c>
      <c r="Z83" s="9">
        <v>2446023.625</v>
      </c>
      <c r="AA83" s="9">
        <v>315249.91875000001</v>
      </c>
      <c r="AB83" s="9">
        <v>3783413.0225</v>
      </c>
      <c r="AC83" s="9">
        <v>156959.73624999999</v>
      </c>
      <c r="AD83" s="9"/>
      <c r="AE83" s="13">
        <f t="shared" si="22"/>
        <v>6701646.3025000002</v>
      </c>
      <c r="AF83" s="14">
        <f t="shared" si="23"/>
        <v>33848431.881249994</v>
      </c>
      <c r="AG83" s="14">
        <f t="shared" si="24"/>
        <v>6701646.3024999946</v>
      </c>
      <c r="AH83" s="15">
        <f t="shared" si="25"/>
        <v>5.0507637009466038</v>
      </c>
      <c r="AI83" s="17">
        <f t="shared" si="13"/>
        <v>20445139.276250005</v>
      </c>
      <c r="AJ83" s="11">
        <f t="shared" si="14"/>
        <v>2</v>
      </c>
      <c r="AK83" s="1">
        <v>8</v>
      </c>
      <c r="AL83" t="s">
        <v>143</v>
      </c>
    </row>
    <row r="84" spans="1:38">
      <c r="A84" s="1">
        <v>8</v>
      </c>
      <c r="B84" t="s">
        <v>143</v>
      </c>
      <c r="C84" s="1" t="s">
        <v>172</v>
      </c>
      <c r="D84" t="s">
        <v>173</v>
      </c>
      <c r="E84" t="s">
        <v>3</v>
      </c>
      <c r="F84" s="2">
        <v>98898944.060000002</v>
      </c>
      <c r="G84" s="2">
        <v>40257444.689999998</v>
      </c>
      <c r="H84" s="2">
        <v>2.46</v>
      </c>
      <c r="I84" s="2">
        <v>6471736.5</v>
      </c>
      <c r="J84" s="2">
        <v>706651.85</v>
      </c>
      <c r="K84" s="2">
        <v>16310825.720000001</v>
      </c>
      <c r="L84" s="2">
        <v>2141049.2000000002</v>
      </c>
      <c r="M84" s="2">
        <v>14627181.42</v>
      </c>
      <c r="N84" s="4">
        <f t="shared" si="15"/>
        <v>40257444.689999998</v>
      </c>
      <c r="O84" s="7">
        <v>39</v>
      </c>
      <c r="P84" s="7">
        <v>45</v>
      </c>
      <c r="Q84" s="7">
        <v>70</v>
      </c>
      <c r="R84" s="6">
        <v>146</v>
      </c>
      <c r="S84" s="16">
        <v>29071542.813750006</v>
      </c>
      <c r="T84" s="10">
        <f t="shared" si="16"/>
        <v>6471736.5</v>
      </c>
      <c r="U84" s="10">
        <f t="shared" si="17"/>
        <v>706651.85</v>
      </c>
      <c r="V84" s="10">
        <f t="shared" si="18"/>
        <v>16310825.720000001</v>
      </c>
      <c r="W84" s="10">
        <f t="shared" si="19"/>
        <v>2141049.2000000002</v>
      </c>
      <c r="X84" s="10">
        <f t="shared" si="20"/>
        <v>14627181.42</v>
      </c>
      <c r="Y84" s="12">
        <f t="shared" si="21"/>
        <v>40257444.689999998</v>
      </c>
      <c r="Z84" s="9">
        <v>3408947.9375</v>
      </c>
      <c r="AA84" s="9">
        <v>646643.85124999995</v>
      </c>
      <c r="AB84" s="9">
        <v>7989552.9062499991</v>
      </c>
      <c r="AC84" s="9">
        <v>386712.77500000002</v>
      </c>
      <c r="AD84" s="9"/>
      <c r="AE84" s="13">
        <f t="shared" si="22"/>
        <v>12431857.469999999</v>
      </c>
      <c r="AF84" s="14">
        <f t="shared" si="23"/>
        <v>29569956.556250006</v>
      </c>
      <c r="AG84" s="14">
        <f t="shared" si="24"/>
        <v>12431857.469999999</v>
      </c>
      <c r="AH84" s="15">
        <f t="shared" si="25"/>
        <v>2.3785630287032249</v>
      </c>
      <c r="AI84" s="17">
        <f t="shared" si="13"/>
        <v>4706241.6162500102</v>
      </c>
      <c r="AJ84" s="11">
        <f t="shared" si="14"/>
        <v>2</v>
      </c>
      <c r="AK84" s="1">
        <v>8</v>
      </c>
      <c r="AL84" t="s">
        <v>143</v>
      </c>
    </row>
    <row r="85" spans="1:38">
      <c r="A85" s="1">
        <v>8</v>
      </c>
      <c r="B85" t="s">
        <v>143</v>
      </c>
      <c r="C85" s="1" t="s">
        <v>174</v>
      </c>
      <c r="D85" t="s">
        <v>175</v>
      </c>
      <c r="E85" t="s">
        <v>3</v>
      </c>
      <c r="F85" s="2">
        <v>32996037.670000002</v>
      </c>
      <c r="G85" s="2">
        <v>24585138.989999998</v>
      </c>
      <c r="H85" s="2">
        <v>1.34</v>
      </c>
      <c r="I85" s="2">
        <v>2185612.5</v>
      </c>
      <c r="J85" s="2">
        <v>397077.54</v>
      </c>
      <c r="K85" s="2">
        <v>11685062.25</v>
      </c>
      <c r="L85" s="2">
        <v>2411612.85</v>
      </c>
      <c r="M85" s="2">
        <v>7905773.8499999996</v>
      </c>
      <c r="N85" s="4">
        <f t="shared" si="15"/>
        <v>24585138.989999998</v>
      </c>
      <c r="O85" s="7">
        <v>42</v>
      </c>
      <c r="P85" s="7">
        <v>85</v>
      </c>
      <c r="Q85" s="7">
        <v>192</v>
      </c>
      <c r="R85" s="6">
        <v>414</v>
      </c>
      <c r="S85" s="16">
        <v>9718545.8774999995</v>
      </c>
      <c r="T85" s="10">
        <f t="shared" si="16"/>
        <v>2185612.5</v>
      </c>
      <c r="U85" s="10">
        <f t="shared" si="17"/>
        <v>397077.54</v>
      </c>
      <c r="V85" s="10">
        <f t="shared" si="18"/>
        <v>11685062.25</v>
      </c>
      <c r="W85" s="10">
        <f t="shared" si="19"/>
        <v>2411612.85</v>
      </c>
      <c r="X85" s="10">
        <f t="shared" si="20"/>
        <v>7905773.8499999996</v>
      </c>
      <c r="Y85" s="12">
        <f t="shared" si="21"/>
        <v>24585138.989999998</v>
      </c>
      <c r="Z85" s="9">
        <v>1634661.25</v>
      </c>
      <c r="AA85" s="9">
        <v>177310.57249999995</v>
      </c>
      <c r="AB85" s="9">
        <v>1814143.1975</v>
      </c>
      <c r="AC85" s="9">
        <v>158032.875</v>
      </c>
      <c r="AD85" s="9"/>
      <c r="AE85" s="13">
        <f t="shared" si="22"/>
        <v>3784147.895</v>
      </c>
      <c r="AF85" s="14">
        <f t="shared" si="23"/>
        <v>-1307647.1974999942</v>
      </c>
      <c r="AG85" s="14">
        <f t="shared" si="24"/>
        <v>3784147.8949999996</v>
      </c>
      <c r="AH85" s="15">
        <f t="shared" si="25"/>
        <v>-0.34555922067099715</v>
      </c>
      <c r="AI85" s="17">
        <f t="shared" si="13"/>
        <v>-8875942.9874999933</v>
      </c>
      <c r="AJ85" s="11">
        <f t="shared" si="14"/>
        <v>2</v>
      </c>
      <c r="AK85" s="1">
        <v>8</v>
      </c>
      <c r="AL85" t="s">
        <v>143</v>
      </c>
    </row>
    <row r="86" spans="1:38">
      <c r="A86" s="1">
        <v>8</v>
      </c>
      <c r="B86" t="s">
        <v>143</v>
      </c>
      <c r="C86" s="1" t="s">
        <v>176</v>
      </c>
      <c r="D86" t="s">
        <v>177</v>
      </c>
      <c r="E86" t="s">
        <v>3</v>
      </c>
      <c r="F86" s="2">
        <v>27840541.359999999</v>
      </c>
      <c r="G86" s="2">
        <v>19264698.48</v>
      </c>
      <c r="H86" s="2">
        <v>1.45</v>
      </c>
      <c r="I86" s="2">
        <v>1371099</v>
      </c>
      <c r="J86" s="2">
        <v>188923.25</v>
      </c>
      <c r="K86" s="2">
        <v>13614724.280000003</v>
      </c>
      <c r="L86" s="2">
        <v>1117070.47</v>
      </c>
      <c r="M86" s="2">
        <v>2972881.48</v>
      </c>
      <c r="N86" s="4">
        <f t="shared" si="15"/>
        <v>19264698.480000004</v>
      </c>
      <c r="O86" s="7">
        <v>64</v>
      </c>
      <c r="P86" s="7">
        <v>54</v>
      </c>
      <c r="Q86" s="7">
        <v>214</v>
      </c>
      <c r="R86" s="6">
        <v>288</v>
      </c>
      <c r="S86" s="16">
        <v>9557324.7074999996</v>
      </c>
      <c r="T86" s="10">
        <f t="shared" si="16"/>
        <v>1371099</v>
      </c>
      <c r="U86" s="10">
        <f t="shared" si="17"/>
        <v>188923.25</v>
      </c>
      <c r="V86" s="10">
        <f t="shared" si="18"/>
        <v>13614724.280000003</v>
      </c>
      <c r="W86" s="10">
        <f t="shared" si="19"/>
        <v>1117070.47</v>
      </c>
      <c r="X86" s="10">
        <f t="shared" si="20"/>
        <v>2972881.48</v>
      </c>
      <c r="Y86" s="12">
        <f t="shared" si="21"/>
        <v>19264698.480000004</v>
      </c>
      <c r="Z86" s="9">
        <v>1054185.375</v>
      </c>
      <c r="AA86" s="9">
        <v>167698.94374999998</v>
      </c>
      <c r="AB86" s="9">
        <v>2016686.37375</v>
      </c>
      <c r="AC86" s="9">
        <v>91096.75</v>
      </c>
      <c r="AD86" s="9"/>
      <c r="AE86" s="13">
        <f t="shared" si="22"/>
        <v>3329667.4424999999</v>
      </c>
      <c r="AF86" s="14">
        <f t="shared" si="23"/>
        <v>-981481.82750000432</v>
      </c>
      <c r="AG86" s="14">
        <f t="shared" si="24"/>
        <v>3329667.4424999952</v>
      </c>
      <c r="AH86" s="15">
        <f t="shared" si="25"/>
        <v>-0.29476872524034531</v>
      </c>
      <c r="AI86" s="17">
        <f t="shared" si="13"/>
        <v>-7640816.7124999957</v>
      </c>
      <c r="AJ86" s="11">
        <f t="shared" si="14"/>
        <v>2.0000000000000004</v>
      </c>
      <c r="AK86" s="1">
        <v>8</v>
      </c>
      <c r="AL86" t="s">
        <v>143</v>
      </c>
    </row>
    <row r="87" spans="1:38">
      <c r="A87" s="1">
        <v>8</v>
      </c>
      <c r="B87" t="s">
        <v>143</v>
      </c>
      <c r="C87" s="1" t="s">
        <v>178</v>
      </c>
      <c r="D87" t="s">
        <v>179</v>
      </c>
      <c r="E87" t="s">
        <v>3</v>
      </c>
      <c r="F87" s="2">
        <v>40143052.590000004</v>
      </c>
      <c r="G87" s="2">
        <v>21376808.379999999</v>
      </c>
      <c r="H87" s="2">
        <v>1.88</v>
      </c>
      <c r="I87" s="2">
        <v>1391717</v>
      </c>
      <c r="J87" s="2">
        <v>307721.48</v>
      </c>
      <c r="K87" s="2">
        <v>12999152.359999999</v>
      </c>
      <c r="L87" s="2">
        <v>996744.35</v>
      </c>
      <c r="M87" s="2">
        <v>5681473.1899999995</v>
      </c>
      <c r="N87" s="4">
        <f t="shared" si="15"/>
        <v>21376808.379999999</v>
      </c>
      <c r="O87" s="7">
        <v>33</v>
      </c>
      <c r="P87" s="7">
        <v>77</v>
      </c>
      <c r="Q87" s="7">
        <v>242</v>
      </c>
      <c r="R87" s="6">
        <v>388</v>
      </c>
      <c r="S87" s="16">
        <v>7518096.1575000007</v>
      </c>
      <c r="T87" s="10">
        <f t="shared" si="16"/>
        <v>1391717</v>
      </c>
      <c r="U87" s="10">
        <f t="shared" si="17"/>
        <v>307721.48</v>
      </c>
      <c r="V87" s="10">
        <f t="shared" si="18"/>
        <v>12999152.359999999</v>
      </c>
      <c r="W87" s="10">
        <f t="shared" si="19"/>
        <v>996744.35</v>
      </c>
      <c r="X87" s="10">
        <f t="shared" si="20"/>
        <v>5681473.1899999995</v>
      </c>
      <c r="Y87" s="12">
        <f t="shared" si="21"/>
        <v>21376808.379999999</v>
      </c>
      <c r="Z87" s="9">
        <v>1211767.375</v>
      </c>
      <c r="AA87" s="9">
        <v>127926.30249999999</v>
      </c>
      <c r="AB87" s="9">
        <v>1665791.6137500003</v>
      </c>
      <c r="AC87" s="9">
        <v>73396</v>
      </c>
      <c r="AD87" s="9"/>
      <c r="AE87" s="13">
        <f t="shared" si="22"/>
        <v>3078881.2912500002</v>
      </c>
      <c r="AF87" s="14">
        <f t="shared" si="23"/>
        <v>11248148.052500006</v>
      </c>
      <c r="AG87" s="14">
        <f t="shared" si="24"/>
        <v>3078881.2912500016</v>
      </c>
      <c r="AH87" s="15">
        <f t="shared" si="25"/>
        <v>3.6533230704498338</v>
      </c>
      <c r="AI87" s="17">
        <f t="shared" si="13"/>
        <v>5090385.4700000016</v>
      </c>
      <c r="AJ87" s="11">
        <f t="shared" si="14"/>
        <v>2.0000000000000004</v>
      </c>
      <c r="AK87" s="1">
        <v>8</v>
      </c>
      <c r="AL87" t="s">
        <v>143</v>
      </c>
    </row>
    <row r="88" spans="1:38">
      <c r="A88" s="1">
        <v>8</v>
      </c>
      <c r="B88" t="s">
        <v>143</v>
      </c>
      <c r="C88" s="1" t="s">
        <v>180</v>
      </c>
      <c r="D88" t="s">
        <v>181</v>
      </c>
      <c r="E88" t="s">
        <v>3</v>
      </c>
      <c r="F88" s="2">
        <v>30109329.850000001</v>
      </c>
      <c r="G88" s="2">
        <v>21373578.149999999</v>
      </c>
      <c r="H88" s="2">
        <v>1.41</v>
      </c>
      <c r="I88" s="2">
        <v>2409683.5</v>
      </c>
      <c r="J88" s="2">
        <v>360272.87</v>
      </c>
      <c r="K88" s="2">
        <v>14381794.509999998</v>
      </c>
      <c r="L88" s="2">
        <v>730959</v>
      </c>
      <c r="M88" s="2">
        <v>3490868.2700000005</v>
      </c>
      <c r="N88" s="4">
        <f t="shared" si="15"/>
        <v>21373578.149999999</v>
      </c>
      <c r="O88" s="7">
        <v>43</v>
      </c>
      <c r="P88" s="7">
        <v>53</v>
      </c>
      <c r="Q88" s="7">
        <v>188</v>
      </c>
      <c r="R88" s="6">
        <v>88</v>
      </c>
      <c r="S88" s="16">
        <v>8285647.7024999997</v>
      </c>
      <c r="T88" s="10">
        <f t="shared" si="16"/>
        <v>2409683.5</v>
      </c>
      <c r="U88" s="10">
        <f t="shared" si="17"/>
        <v>360272.87</v>
      </c>
      <c r="V88" s="10">
        <f t="shared" si="18"/>
        <v>14381794.509999998</v>
      </c>
      <c r="W88" s="10">
        <f t="shared" si="19"/>
        <v>730959</v>
      </c>
      <c r="X88" s="10">
        <f t="shared" si="20"/>
        <v>3490868.2700000005</v>
      </c>
      <c r="Y88" s="12">
        <f t="shared" si="21"/>
        <v>21373578.149999999</v>
      </c>
      <c r="Z88" s="9">
        <v>1233147.8125</v>
      </c>
      <c r="AA88" s="9">
        <v>152177.77999999997</v>
      </c>
      <c r="AB88" s="9">
        <v>2055196.87625</v>
      </c>
      <c r="AC88" s="9">
        <v>156221.75</v>
      </c>
      <c r="AD88" s="9"/>
      <c r="AE88" s="13">
        <f t="shared" si="22"/>
        <v>3596744.21875</v>
      </c>
      <c r="AF88" s="14">
        <f t="shared" si="23"/>
        <v>450103.99750000238</v>
      </c>
      <c r="AG88" s="14">
        <f t="shared" si="24"/>
        <v>3596744.21875</v>
      </c>
      <c r="AH88" s="15">
        <f t="shared" si="25"/>
        <v>0.12514206463545244</v>
      </c>
      <c r="AI88" s="17">
        <f t="shared" ref="AI88:AI91" si="26">+AG88*(AH88-2)</f>
        <v>-6743384.4399999976</v>
      </c>
      <c r="AJ88" s="11">
        <f t="shared" ref="AJ88:AJ91" si="27">+(AF88-AI88)/AG88</f>
        <v>2</v>
      </c>
      <c r="AK88" s="1">
        <v>8</v>
      </c>
      <c r="AL88" t="s">
        <v>143</v>
      </c>
    </row>
    <row r="89" spans="1:38">
      <c r="A89" s="1">
        <v>8</v>
      </c>
      <c r="B89" t="s">
        <v>143</v>
      </c>
      <c r="C89" s="1" t="s">
        <v>182</v>
      </c>
      <c r="D89" t="s">
        <v>183</v>
      </c>
      <c r="E89" t="s">
        <v>3</v>
      </c>
      <c r="F89" s="2">
        <v>108295759.36</v>
      </c>
      <c r="G89" s="2">
        <v>94268527.870000005</v>
      </c>
      <c r="H89" s="2">
        <v>1.1499999999999999</v>
      </c>
      <c r="I89" s="2">
        <v>6541470</v>
      </c>
      <c r="J89" s="2">
        <v>772543.01</v>
      </c>
      <c r="K89" s="2">
        <v>63425254.190000005</v>
      </c>
      <c r="L89" s="2">
        <v>5645887.25</v>
      </c>
      <c r="M89" s="2">
        <v>17883373.420000002</v>
      </c>
      <c r="N89" s="4">
        <f t="shared" ref="N89:N91" si="28">SUM(I89:M89)</f>
        <v>94268527.870000005</v>
      </c>
      <c r="O89" s="7">
        <v>38</v>
      </c>
      <c r="P89" s="7">
        <v>70</v>
      </c>
      <c r="Q89" s="7">
        <v>139</v>
      </c>
      <c r="R89" s="6">
        <v>339</v>
      </c>
      <c r="S89" s="16">
        <v>38037231.952500001</v>
      </c>
      <c r="T89" s="10">
        <f t="shared" ref="T89:T91" si="29">SUM(I89)</f>
        <v>6541470</v>
      </c>
      <c r="U89" s="10">
        <f t="shared" ref="U89:U91" si="30">SUM(J89)</f>
        <v>772543.01</v>
      </c>
      <c r="V89" s="10">
        <f t="shared" ref="V89:V91" si="31">SUM(K89)</f>
        <v>63425254.190000005</v>
      </c>
      <c r="W89" s="10">
        <f t="shared" ref="W89:W91" si="32">SUM(L89)</f>
        <v>5645887.25</v>
      </c>
      <c r="X89" s="10">
        <f t="shared" ref="X89:X91" si="33">SUM(M89)</f>
        <v>17883373.420000002</v>
      </c>
      <c r="Y89" s="12">
        <f t="shared" ref="Y89:Y91" si="34">SUM(T89:X89)</f>
        <v>94268527.870000005</v>
      </c>
      <c r="Z89" s="9">
        <v>4682337.25</v>
      </c>
      <c r="AA89" s="9">
        <v>618918.88624999998</v>
      </c>
      <c r="AB89" s="9">
        <v>12519907.733750001</v>
      </c>
      <c r="AC89" s="9">
        <v>477454.40625</v>
      </c>
      <c r="AD89" s="9"/>
      <c r="AE89" s="13">
        <f t="shared" ref="AE89:AE91" si="35">SUM(Z89:AD89)</f>
        <v>18298618.276250001</v>
      </c>
      <c r="AF89" s="14">
        <f t="shared" ref="AF89:AF91" si="36">SUM(F89-S89-Y89)</f>
        <v>-24010000.462500006</v>
      </c>
      <c r="AG89" s="14">
        <f t="shared" ref="AG89:AG91" si="37">SUM(G89+AE89-Y89)</f>
        <v>18298618.276250005</v>
      </c>
      <c r="AH89" s="15">
        <f t="shared" ref="AH89:AH91" si="38">SUM(AF89/AG89)</f>
        <v>-1.3121209536166385</v>
      </c>
      <c r="AI89" s="17">
        <f t="shared" si="26"/>
        <v>-60607237.015000008</v>
      </c>
      <c r="AJ89" s="11">
        <f t="shared" si="27"/>
        <v>1.9999999999999996</v>
      </c>
      <c r="AK89" s="1">
        <v>8</v>
      </c>
      <c r="AL89" t="s">
        <v>143</v>
      </c>
    </row>
    <row r="90" spans="1:38">
      <c r="A90" s="1">
        <v>8</v>
      </c>
      <c r="B90" t="s">
        <v>143</v>
      </c>
      <c r="C90" s="1" t="s">
        <v>184</v>
      </c>
      <c r="D90" t="s">
        <v>185</v>
      </c>
      <c r="E90" t="s">
        <v>3</v>
      </c>
      <c r="F90" s="2">
        <v>9600041.7599999998</v>
      </c>
      <c r="G90" s="2">
        <v>14912701.199999999</v>
      </c>
      <c r="H90" s="2">
        <v>0.64</v>
      </c>
      <c r="I90" s="2">
        <v>959868</v>
      </c>
      <c r="J90" s="2">
        <v>82427.11</v>
      </c>
      <c r="K90" s="2">
        <v>11564995.970000001</v>
      </c>
      <c r="L90" s="2">
        <v>1647758.5</v>
      </c>
      <c r="M90" s="2">
        <v>657651.62</v>
      </c>
      <c r="N90" s="4">
        <f t="shared" si="28"/>
        <v>14912701.199999999</v>
      </c>
      <c r="O90" s="7">
        <v>33</v>
      </c>
      <c r="P90" s="7">
        <v>50</v>
      </c>
      <c r="Q90" s="7">
        <v>166</v>
      </c>
      <c r="R90" s="6">
        <v>397</v>
      </c>
      <c r="S90" s="16">
        <v>8340591.3524999991</v>
      </c>
      <c r="T90" s="10">
        <f t="shared" si="29"/>
        <v>959868</v>
      </c>
      <c r="U90" s="10">
        <f t="shared" si="30"/>
        <v>82427.11</v>
      </c>
      <c r="V90" s="10">
        <f t="shared" si="31"/>
        <v>11564995.970000001</v>
      </c>
      <c r="W90" s="10">
        <f t="shared" si="32"/>
        <v>1647758.5</v>
      </c>
      <c r="X90" s="10">
        <f t="shared" si="33"/>
        <v>657651.62</v>
      </c>
      <c r="Y90" s="12">
        <f t="shared" si="34"/>
        <v>14912701.199999999</v>
      </c>
      <c r="Z90" s="9">
        <v>856725.625</v>
      </c>
      <c r="AA90" s="9">
        <v>64673.908749999995</v>
      </c>
      <c r="AB90" s="9">
        <v>2174440.51125</v>
      </c>
      <c r="AC90" s="9">
        <v>110679.53125</v>
      </c>
      <c r="AD90" s="9"/>
      <c r="AE90" s="13">
        <f t="shared" si="35"/>
        <v>3206519.5762499999</v>
      </c>
      <c r="AF90" s="14">
        <f t="shared" si="36"/>
        <v>-13653250.792499999</v>
      </c>
      <c r="AG90" s="14">
        <f t="shared" si="37"/>
        <v>3206519.5762499981</v>
      </c>
      <c r="AH90" s="15">
        <f t="shared" si="38"/>
        <v>-4.2579658311231574</v>
      </c>
      <c r="AI90" s="17">
        <f t="shared" si="26"/>
        <v>-20066289.944999993</v>
      </c>
      <c r="AJ90" s="11">
        <f t="shared" si="27"/>
        <v>1.9999999999999993</v>
      </c>
      <c r="AK90" s="1">
        <v>8</v>
      </c>
      <c r="AL90" t="s">
        <v>143</v>
      </c>
    </row>
    <row r="91" spans="1:38">
      <c r="A91" s="1">
        <v>8</v>
      </c>
      <c r="B91" t="s">
        <v>143</v>
      </c>
      <c r="C91" s="1" t="s">
        <v>186</v>
      </c>
      <c r="D91" t="s">
        <v>187</v>
      </c>
      <c r="E91" t="s">
        <v>3</v>
      </c>
      <c r="F91" s="2">
        <v>33677691.899999999</v>
      </c>
      <c r="G91" s="2">
        <v>12858298.800000001</v>
      </c>
      <c r="H91" s="2">
        <v>2.62</v>
      </c>
      <c r="I91" s="2">
        <v>1179265</v>
      </c>
      <c r="J91" s="2">
        <v>285213.07</v>
      </c>
      <c r="K91" s="2">
        <v>6951758.6500000004</v>
      </c>
      <c r="L91" s="2">
        <v>758044.5</v>
      </c>
      <c r="M91" s="2">
        <v>3684017.58</v>
      </c>
      <c r="N91" s="4">
        <f t="shared" si="28"/>
        <v>12858298.800000001</v>
      </c>
      <c r="O91" s="7">
        <v>44</v>
      </c>
      <c r="P91" s="7">
        <v>84</v>
      </c>
      <c r="Q91" s="7">
        <v>107</v>
      </c>
      <c r="R91" s="6">
        <v>194</v>
      </c>
      <c r="S91" s="16">
        <v>7378342.1174999988</v>
      </c>
      <c r="T91" s="10">
        <f t="shared" si="29"/>
        <v>1179265</v>
      </c>
      <c r="U91" s="10">
        <f t="shared" si="30"/>
        <v>285213.07</v>
      </c>
      <c r="V91" s="10">
        <f t="shared" si="31"/>
        <v>6951758.6500000004</v>
      </c>
      <c r="W91" s="10">
        <f t="shared" si="32"/>
        <v>758044.5</v>
      </c>
      <c r="X91" s="10">
        <f t="shared" si="33"/>
        <v>3684017.58</v>
      </c>
      <c r="Y91" s="12">
        <f t="shared" si="34"/>
        <v>12858298.800000001</v>
      </c>
      <c r="Z91" s="9">
        <v>848888.4375</v>
      </c>
      <c r="AA91" s="9">
        <v>123828.36375</v>
      </c>
      <c r="AB91" s="9">
        <v>1830609.3462499999</v>
      </c>
      <c r="AC91" s="9">
        <v>102953.0625</v>
      </c>
      <c r="AD91" s="9"/>
      <c r="AE91" s="13">
        <f t="shared" si="35"/>
        <v>2906279.21</v>
      </c>
      <c r="AF91" s="14">
        <f t="shared" si="36"/>
        <v>13441050.982499998</v>
      </c>
      <c r="AG91" s="14">
        <f t="shared" si="37"/>
        <v>2906279.2100000009</v>
      </c>
      <c r="AH91" s="15">
        <f t="shared" si="38"/>
        <v>4.6248312743839897</v>
      </c>
      <c r="AI91" s="17">
        <f t="shared" si="26"/>
        <v>7628492.5624999972</v>
      </c>
      <c r="AJ91" s="11">
        <f t="shared" si="27"/>
        <v>1.9999999999999998</v>
      </c>
      <c r="AK91" s="1">
        <v>8</v>
      </c>
      <c r="AL91" t="s">
        <v>143</v>
      </c>
    </row>
  </sheetData>
  <autoFilter ref="A3:AL91" xr:uid="{0441BECC-6DE7-42C7-B39A-200888169B1A}"/>
  <mergeCells count="6">
    <mergeCell ref="F1:H1"/>
    <mergeCell ref="O1:R1"/>
    <mergeCell ref="AF1:AH1"/>
    <mergeCell ref="T1:Y1"/>
    <mergeCell ref="Z1:AE1"/>
    <mergeCell ref="I1:N1"/>
  </mergeCells>
  <conditionalFormatting sqref="O4:R91">
    <cfRule type="cellIs" dxfId="0" priority="2" operator="lessThanOrEqual">
      <formula>30</formula>
    </cfRule>
  </conditionalFormatting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คำแนะนำ</vt:lpstr>
      <vt:lpstr>สรุปข้อมูล</vt:lpstr>
      <vt:lpstr>data_ชีชกรอกข้อมูล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NUMKHANG</dc:creator>
  <cp:lastModifiedBy>HIGVIP-01</cp:lastModifiedBy>
  <dcterms:created xsi:type="dcterms:W3CDTF">2022-06-17T13:32:53Z</dcterms:created>
  <dcterms:modified xsi:type="dcterms:W3CDTF">2022-06-23T06:25:06Z</dcterms:modified>
</cp:coreProperties>
</file>